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2026\NTMA_Wage\Prep\"/>
    </mc:Choice>
  </mc:AlternateContent>
  <xr:revisionPtr revIDLastSave="0" documentId="13_ncr:1_{1C6E2D45-3F8C-48B4-B8DA-8903F248D69D}" xr6:coauthVersionLast="47" xr6:coauthVersionMax="47" xr10:uidLastSave="{00000000-0000-0000-0000-000000000000}"/>
  <workbookProtection workbookAlgorithmName="SHA-512" workbookHashValue="1z0dr/xiz4PsmMvaL0EGKwtUnfMuHfkj1Sib+Hm2FySEI2cBnCztiGlYDdQp2q9PaeKVgLSir/Z+EAVkWRbcqA==" workbookSaltValue="hEQ7WmJLhX4lQDUvknajCw==" workbookSpinCount="100000" lockStructure="1"/>
  <bookViews>
    <workbookView xWindow="-120" yWindow="-120" windowWidth="29040" windowHeight="15720" tabRatio="650" xr2:uid="{00000000-000D-0000-FFFF-FFFF00000000}"/>
  </bookViews>
  <sheets>
    <sheet name="Overview" sheetId="1" r:id="rId1"/>
    <sheet name="Genl Info" sheetId="11" r:id="rId2"/>
    <sheet name="Plant Wages" sheetId="14" r:id="rId3"/>
    <sheet name="Benefits" sheetId="16" r:id="rId4"/>
    <sheet name="Print" sheetId="12" state="hidden" r:id="rId5"/>
    <sheet name="Data" sheetId="21" state="hidden" r:id="rId6"/>
  </sheets>
  <definedNames>
    <definedName name="AALL">'Plant Wages'!$I$25</definedName>
    <definedName name="AALLB">'Plant Wages'!$L$25</definedName>
    <definedName name="AALLC">'Plant Wages'!$O$25</definedName>
    <definedName name="AASSM">'Plant Wages'!$I$53</definedName>
    <definedName name="AASSMB">'Plant Wages'!$L$53</definedName>
    <definedName name="AASSMC">'Plant Wages'!$O$53</definedName>
    <definedName name="ABLAN">'Plant Wages'!$I$33</definedName>
    <definedName name="ABLANB">'Plant Wages'!$L$33</definedName>
    <definedName name="ABLANC">'Plant Wages'!$O$33</definedName>
    <definedName name="ACCUM">Benefits!$L$81</definedName>
    <definedName name="ACNC">'Plant Wages'!$I$26</definedName>
    <definedName name="ACNCB">'Plant Wages'!$L$26</definedName>
    <definedName name="ACNCC">'Plant Wages'!$O$26</definedName>
    <definedName name="ACYL">'Plant Wages'!$I$34</definedName>
    <definedName name="ACYLB">'Plant Wages'!$L$34</definedName>
    <definedName name="ACYLC">'Plant Wages'!$O$34</definedName>
    <definedName name="ADDR1">Overview!$D$30</definedName>
    <definedName name="ADDR2">Overview!$D$31</definedName>
    <definedName name="ADEBUR">'Plant Wages'!$I$48</definedName>
    <definedName name="ADEBURB">'Plant Wages'!$L$48</definedName>
    <definedName name="ADEBURC">'Plant Wages'!$O$48</definedName>
    <definedName name="ADIE">'Plant Wages'!$I$47</definedName>
    <definedName name="ADIEB">'Plant Wages'!$L$47</definedName>
    <definedName name="ADIEC">'Plant Wages'!$O$47</definedName>
    <definedName name="AEDM">'Plant Wages'!$I$32</definedName>
    <definedName name="AEDMB">'Plant Wages'!$L$32</definedName>
    <definedName name="AEDMC">'Plant Wages'!$O$32</definedName>
    <definedName name="AELEC">'Plant Wages'!$I$31</definedName>
    <definedName name="AELECB">'Plant Wages'!$L$31</definedName>
    <definedName name="AELECC">'Plant Wages'!$O$31</definedName>
    <definedName name="AENG">'Plant Wages'!$I$54</definedName>
    <definedName name="AENGB">'Plant Wages'!$L$54</definedName>
    <definedName name="AENGC">'Plant Wages'!$O$54</definedName>
    <definedName name="AERO">'Genl Info'!$I$7</definedName>
    <definedName name="AFIRST">'Plant Wages'!$I$19</definedName>
    <definedName name="AFIRSTB">'Plant Wages'!$L$19</definedName>
    <definedName name="AFIRSTC">'Plant Wages'!$O$19</definedName>
    <definedName name="AFIVE">'Plant Wages'!$I$30</definedName>
    <definedName name="AFIVEB">'Plant Wages'!$L$30</definedName>
    <definedName name="AFIVEC">'Plant Wages'!$O$30</definedName>
    <definedName name="AFORTH">'Plant Wages'!$I$22</definedName>
    <definedName name="AFOURTH">'Plant Wages'!$I$22</definedName>
    <definedName name="AFOURTHB">'Plant Wages'!$L$22</definedName>
    <definedName name="AFOURTHC">'Plant Wages'!$O$22</definedName>
    <definedName name="AHMC">'Plant Wages'!$I$28</definedName>
    <definedName name="AHMCB">'Plant Wages'!$L$28</definedName>
    <definedName name="AHMCC">'Plant Wages'!$O$28</definedName>
    <definedName name="AINSP">'Plant Wages'!$I$55</definedName>
    <definedName name="AINSPB">'Plant Wages'!$L$55</definedName>
    <definedName name="AINSPC">'Plant Wages'!$O$55</definedName>
    <definedName name="ALEAD">'Plant Wages'!$I$60</definedName>
    <definedName name="ALEADB">'Plant Wages'!$L$60</definedName>
    <definedName name="ALEADC">'Plant Wages'!$O$60</definedName>
    <definedName name="AMACH">'Plant Wages'!$I$27</definedName>
    <definedName name="AMAIN">'Plant Wages'!$I$56</definedName>
    <definedName name="AMAINB">'Plant Wages'!$L$56</definedName>
    <definedName name="AMAINC">'Plant Wages'!$O$56</definedName>
    <definedName name="AMOLD">'Plant Wages'!$I$46</definedName>
    <definedName name="AMOLDB">'Plant Wages'!$L$46</definedName>
    <definedName name="AMOLDC">'Plant Wages'!$O$46</definedName>
    <definedName name="AMULTI">'Plant Wages'!$I$37</definedName>
    <definedName name="AMULTIB">'Plant Wages'!$L$37</definedName>
    <definedName name="AMULTIC">'Plant Wages'!$O$37</definedName>
    <definedName name="APBO">'Plant Wages'!$I$41</definedName>
    <definedName name="APOL">'Plant Wages'!$I$49</definedName>
    <definedName name="APOLB">'Plant Wages'!$L$49</definedName>
    <definedName name="APOLC">'Plant Wages'!$O$49</definedName>
    <definedName name="APPO">'Plant Wages'!$I$43</definedName>
    <definedName name="APROG">'Plant Wages'!$I$57</definedName>
    <definedName name="APROGB">'Plant Wages'!$L$57</definedName>
    <definedName name="APROGC">'Plant Wages'!$O$57</definedName>
    <definedName name="APUR">'Plant Wages'!$I$63</definedName>
    <definedName name="APURB">'Plant Wages'!$L$63</definedName>
    <definedName name="APURC">'Plant Wages'!$O$63</definedName>
    <definedName name="ARTM">'Plant Wages'!$I$39</definedName>
    <definedName name="ARTMB">'Plant Wages'!$L$39</definedName>
    <definedName name="ARTMC">'Plant Wages'!$O$39</definedName>
    <definedName name="ASAW">'Plant Wages'!$I$40</definedName>
    <definedName name="ASAWB">'Plant Wages'!$L$40</definedName>
    <definedName name="ASAWC">'Plant Wages'!$O$40</definedName>
    <definedName name="ASECOND">'Plant Wages'!$I$20</definedName>
    <definedName name="ASECONDB">'Plant Wages'!$L$20</definedName>
    <definedName name="ASECONDC">'Plant Wages'!$O$20</definedName>
    <definedName name="ASHIP">'Plant Wages'!$I$58</definedName>
    <definedName name="ASHIPB">'Plant Wages'!$L$58</definedName>
    <definedName name="ASHIPC">'Plant Wages'!$O$58</definedName>
    <definedName name="ASUPR">'Plant Wages'!$I$59</definedName>
    <definedName name="ASUPRB">'Plant Wages'!$L$59</definedName>
    <definedName name="ASUPRC">'Plant Wages'!$O$59</definedName>
    <definedName name="ASUR">'Plant Wages'!$I$35</definedName>
    <definedName name="ASURB">'Plant Wages'!$L$35</definedName>
    <definedName name="ASURC">'Plant Wages'!$O$35</definedName>
    <definedName name="ASWIS">'Plant Wages'!$I$38</definedName>
    <definedName name="ASWISB">'Plant Wages'!$L$38</definedName>
    <definedName name="ASWISC">'Plant Wages'!$O$38</definedName>
    <definedName name="ATHA">Benefits!$F$89</definedName>
    <definedName name="ATHIRD">'Plant Wages'!$I$21</definedName>
    <definedName name="ATHIRDB">'Plant Wages'!$L$21</definedName>
    <definedName name="ATHIRDC">'Plant Wages'!$O$21</definedName>
    <definedName name="ATOOL">'Plant Wages'!$I$50</definedName>
    <definedName name="ATOOLB">'Plant Wages'!$L$50</definedName>
    <definedName name="ATOOLC">'Plant Wages'!$O$50</definedName>
    <definedName name="ATURN">'Plant Wages'!$I$36</definedName>
    <definedName name="ATURNB">'Plant Wages'!$L$36</definedName>
    <definedName name="ATURNC">'Plant Wages'!$O$36</definedName>
    <definedName name="AVMC">'Plant Wages'!$I$29</definedName>
    <definedName name="AVMCB">'Plant Wages'!$L$29</definedName>
    <definedName name="AVMCC">'Plant Wages'!$O$29</definedName>
    <definedName name="AWELD">'Plant Wages'!$I$61</definedName>
    <definedName name="AWELDB">'Plant Wages'!$L$61</definedName>
    <definedName name="AWELDC">'Plant Wages'!$O$61</definedName>
    <definedName name="AWJO">'Plant Wages'!$I$42</definedName>
    <definedName name="BEGEMP">'Genl Info'!$I$21</definedName>
    <definedName name="BUDGET">'Genl Info'!$I$15</definedName>
    <definedName name="CAF">Benefits!$L$30</definedName>
    <definedName name="CARD">Benefits!$F$8</definedName>
    <definedName name="CARDCO">Benefits!$L$8</definedName>
    <definedName name="CHILD">Benefits!$B$60</definedName>
    <definedName name="CITY">Overview!$D$32</definedName>
    <definedName name="COMB">Benefits!$L$71</definedName>
    <definedName name="COMP">#REF!</definedName>
    <definedName name="COMPANY">Overview!$D$29</definedName>
    <definedName name="CSH">Benefits!$B$67</definedName>
    <definedName name="CSL">Benefits!$L$58</definedName>
    <definedName name="CTR">Benefits!$L$59</definedName>
    <definedName name="DCARD">Benefits!$J$8</definedName>
    <definedName name="DDENT">Benefits!$J$10</definedName>
    <definedName name="DDEP">Benefits!$J$7</definedName>
    <definedName name="DEFINED">Benefits!$L$44</definedName>
    <definedName name="DENTAL">Benefits!$F$10</definedName>
    <definedName name="DENTCO">Benefits!$L$10</definedName>
    <definedName name="DEP">Benefits!$F$7</definedName>
    <definedName name="DEPCO">Benefits!$L$7</definedName>
    <definedName name="DEPO">Benefits!$J$26</definedName>
    <definedName name="DEYE">Benefits!$J$11</definedName>
    <definedName name="DHMO">Benefits!$J$23</definedName>
    <definedName name="DHSA">Benefits!$J$27</definedName>
    <definedName name="DMED">Benefits!$J$6</definedName>
    <definedName name="DPOS">Benefits!$J$24</definedName>
    <definedName name="DPPO">Benefits!$J$25</definedName>
    <definedName name="DRMIC">Benefits!$J$12</definedName>
    <definedName name="DTRAD">Benefits!$J$22</definedName>
    <definedName name="EALL">'Plant Wages'!$H$25</definedName>
    <definedName name="EAP">Benefits!$F$16</definedName>
    <definedName name="ECARD">Benefits!$H$8</definedName>
    <definedName name="ED">Benefits!$L$57</definedName>
    <definedName name="EDENT">Benefits!$H$10</definedName>
    <definedName name="EDEP">Benefits!$H$7</definedName>
    <definedName name="EEAP">Benefits!$H$16</definedName>
    <definedName name="EEPO">Benefits!$H$26</definedName>
    <definedName name="EEYE">Benefits!$H$11</definedName>
    <definedName name="EHMO">Benefits!$H$23</definedName>
    <definedName name="EHSA">Benefits!$H$27</definedName>
    <definedName name="ELIFE">Benefits!$H$13</definedName>
    <definedName name="ELIG">Benefits!$L$92</definedName>
    <definedName name="ELTD">Benefits!$H$14</definedName>
    <definedName name="EMAIL">Overview!$D$36</definedName>
    <definedName name="EMED">Benefits!$H$6</definedName>
    <definedName name="EMPCHILD">Benefits!$L$35</definedName>
    <definedName name="ENDEMP">'Genl Info'!$I$24</definedName>
    <definedName name="EPO">Benefits!$F$26</definedName>
    <definedName name="EPOCO">Benefits!$L$26</definedName>
    <definedName name="EPOS">Benefits!$H$24</definedName>
    <definedName name="EPPO">Benefits!$H$25</definedName>
    <definedName name="ERMIC">Benefits!$H$12</definedName>
    <definedName name="ESTD">Benefits!$H$15</definedName>
    <definedName name="ETRAD">Benefits!$H$22</definedName>
    <definedName name="EVAL">#REF!</definedName>
    <definedName name="EXAM">#REF!</definedName>
    <definedName name="EYE">Benefits!$F$11</definedName>
    <definedName name="EYECO">Benefits!$L$11</definedName>
    <definedName name="FAID">#REF!</definedName>
    <definedName name="FAMILY">Benefits!$L$36</definedName>
    <definedName name="FAX">Overview!#REF!</definedName>
    <definedName name="FORCAUSE">#REF!</definedName>
    <definedName name="FORMAL">#REF!</definedName>
    <definedName name="GENCO">Benefits!$L$9</definedName>
    <definedName name="GENL">'Genl Info'!$I$6</definedName>
    <definedName name="GIFT">Benefits!$B$68</definedName>
    <definedName name="GOOD">Benefits!$B$89</definedName>
    <definedName name="HALL">'Plant Wages'!$H$25</definedName>
    <definedName name="HALLB">'Plant Wages'!$K$25</definedName>
    <definedName name="HALLC">'Plant Wages'!$N$25</definedName>
    <definedName name="HASSM">'Plant Wages'!$H$53</definedName>
    <definedName name="HASSMB">'Plant Wages'!$K$53</definedName>
    <definedName name="HASSMC">'Plant Wages'!$N$53</definedName>
    <definedName name="HBLAN">'Plant Wages'!$H$33</definedName>
    <definedName name="HBLANB">'Plant Wages'!$K$33</definedName>
    <definedName name="HBLANC">'Plant Wages'!$N$33</definedName>
    <definedName name="HCNC">'Plant Wages'!$H$26</definedName>
    <definedName name="HCNCB">'Plant Wages'!$K$26</definedName>
    <definedName name="HCNCC">'Plant Wages'!$N$26</definedName>
    <definedName name="HCYL">'Plant Wages'!$H$34</definedName>
    <definedName name="HCYLB">'Plant Wages'!$K$34</definedName>
    <definedName name="HCYLC">'Plant Wages'!$N$34</definedName>
    <definedName name="HDEBUR">'Plant Wages'!$H$48</definedName>
    <definedName name="HDEBURB">'Plant Wages'!$K$48</definedName>
    <definedName name="HDEBURC">'Plant Wages'!$N$48</definedName>
    <definedName name="HDIE">'Plant Wages'!$H$47</definedName>
    <definedName name="HDIEB">'Plant Wages'!$K$47</definedName>
    <definedName name="HDIEC">'Plant Wages'!$N$47</definedName>
    <definedName name="HEDM">'Plant Wages'!$H$32</definedName>
    <definedName name="HEDMB">'Plant Wages'!$K$32</definedName>
    <definedName name="HEDMC">'Plant Wages'!$N$32</definedName>
    <definedName name="HELEC">'Plant Wages'!$H$31</definedName>
    <definedName name="HELECB">'Plant Wages'!$K$31</definedName>
    <definedName name="HELECC">'Plant Wages'!$N$31</definedName>
    <definedName name="HENG">'Plant Wages'!$H$54</definedName>
    <definedName name="HENGB">'Plant Wages'!$K$54</definedName>
    <definedName name="HENGC">'Plant Wages'!$N$54</definedName>
    <definedName name="HFIRST">'Plant Wages'!$H$19</definedName>
    <definedName name="HFIRSTB">'Plant Wages'!$K$19</definedName>
    <definedName name="HFIRSTC">'Plant Wages'!$N$19</definedName>
    <definedName name="HFIVE">'Plant Wages'!$H$30</definedName>
    <definedName name="HFIVEB">'Plant Wages'!$K$30</definedName>
    <definedName name="HFIVEC">'Plant Wages'!$N$30</definedName>
    <definedName name="HFORTH">'Plant Wages'!$H$22</definedName>
    <definedName name="HFOURTH">'Plant Wages'!$H$22</definedName>
    <definedName name="HFOURTHB">'Plant Wages'!$K$22</definedName>
    <definedName name="HFOURTHC">'Plant Wages'!$N$22</definedName>
    <definedName name="HHMC">'Plant Wages'!$H$28</definedName>
    <definedName name="HHMCB">'Plant Wages'!$K$28</definedName>
    <definedName name="HHMCC">'Plant Wages'!$N$28</definedName>
    <definedName name="HINSP">'Plant Wages'!$H$55</definedName>
    <definedName name="HINSPB">'Plant Wages'!$K$55</definedName>
    <definedName name="HINSPC">'Plant Wages'!$N$55</definedName>
    <definedName name="HIRE">'Genl Info'!$I$22</definedName>
    <definedName name="HLEAD">'Plant Wages'!$H$60</definedName>
    <definedName name="HLEADB">'Plant Wages'!$K$60</definedName>
    <definedName name="HLEADC">'Plant Wages'!$N$60</definedName>
    <definedName name="HMACH">'Plant Wages'!$H$27</definedName>
    <definedName name="HMAIN">'Plant Wages'!$H$56</definedName>
    <definedName name="HMAINB">'Plant Wages'!$K$56</definedName>
    <definedName name="HMAINC">'Plant Wages'!$N$56</definedName>
    <definedName name="HMO">Benefits!$F$23</definedName>
    <definedName name="HMOCO">Benefits!$L$23</definedName>
    <definedName name="HMOLD">'Plant Wages'!$H$46</definedName>
    <definedName name="HMOLDB">'Plant Wages'!$K$46</definedName>
    <definedName name="HMOLDC">'Plant Wages'!$N$46</definedName>
    <definedName name="HMULTI">'Plant Wages'!$H$37</definedName>
    <definedName name="HMULTIB">'Plant Wages'!$K$37</definedName>
    <definedName name="HMULTIC">'Plant Wages'!$N$37</definedName>
    <definedName name="HOL">Benefits!$L$82</definedName>
    <definedName name="HOLOT">#REF!</definedName>
    <definedName name="HOLPAY">#REF!</definedName>
    <definedName name="HPBO">'Plant Wages'!$H$41</definedName>
    <definedName name="HPOL">'Plant Wages'!$H$49</definedName>
    <definedName name="HPOLB">'Plant Wages'!$K$49</definedName>
    <definedName name="HPOLC">'Plant Wages'!$N$49</definedName>
    <definedName name="HPPO">'Plant Wages'!$H$43</definedName>
    <definedName name="HPROG">'Plant Wages'!$H$57</definedName>
    <definedName name="HPROGB">'Plant Wages'!$K$57</definedName>
    <definedName name="HPROGC">'Plant Wages'!$N$57</definedName>
    <definedName name="HPUR">'Plant Wages'!$H$63</definedName>
    <definedName name="HPURB">'Plant Wages'!$K$63</definedName>
    <definedName name="HPURC">'Plant Wages'!$N$63</definedName>
    <definedName name="HRTM">'Plant Wages'!$H$39</definedName>
    <definedName name="HRTMB">'Plant Wages'!$K$39</definedName>
    <definedName name="HRTMC">'Plant Wages'!$N$39</definedName>
    <definedName name="HSA">Benefits!$F$27</definedName>
    <definedName name="HSACO">Benefits!$L$27</definedName>
    <definedName name="HSACONT">Benefits!$L$28</definedName>
    <definedName name="HSAW">'Plant Wages'!$H$40</definedName>
    <definedName name="HSAWB">'Plant Wages'!$K$40</definedName>
    <definedName name="HSAWC">'Plant Wages'!$N$40</definedName>
    <definedName name="HSECOND">'Plant Wages'!$H$20</definedName>
    <definedName name="HSECONDB">'Plant Wages'!$K$20</definedName>
    <definedName name="HSECONDC">'Plant Wages'!$N$20</definedName>
    <definedName name="HSHIP">'Plant Wages'!$H$58</definedName>
    <definedName name="HSHIPB">'Plant Wages'!$K$58</definedName>
    <definedName name="HSHIPC">'Plant Wages'!$N$58</definedName>
    <definedName name="HSUPR">'Plant Wages'!$H$59</definedName>
    <definedName name="HSUPRB">'Plant Wages'!$K$59</definedName>
    <definedName name="HSUPRC">'Plant Wages'!$N$59</definedName>
    <definedName name="HSUR">'Plant Wages'!$H$35</definedName>
    <definedName name="HSURB">'Plant Wages'!$K$35</definedName>
    <definedName name="HSURC">'Plant Wages'!$N$35</definedName>
    <definedName name="HSWIS">'Plant Wages'!$H$38</definedName>
    <definedName name="HSWISB">'Plant Wages'!$K$38</definedName>
    <definedName name="HSWISC">'Plant Wages'!$N$38</definedName>
    <definedName name="HTHIRD">'Plant Wages'!$H$21</definedName>
    <definedName name="HTHIRDB">'Plant Wages'!$K$21</definedName>
    <definedName name="HTHIRDC">'Plant Wages'!$N$21</definedName>
    <definedName name="HTOOL">'Plant Wages'!$H$50</definedName>
    <definedName name="HTOOLB">'Plant Wages'!$K$50</definedName>
    <definedName name="HTOOLC">'Plant Wages'!$N$50</definedName>
    <definedName name="HTURN">'Plant Wages'!$H$36</definedName>
    <definedName name="HTURNB">'Plant Wages'!$K$36</definedName>
    <definedName name="HTURNC">'Plant Wages'!$N$36</definedName>
    <definedName name="HVMC">'Plant Wages'!$H$29</definedName>
    <definedName name="HVMCB">'Plant Wages'!$K$29</definedName>
    <definedName name="HVMCC">'Plant Wages'!$N$29</definedName>
    <definedName name="HWELD">'Plant Wages'!$H$61</definedName>
    <definedName name="HWELDB">'Plant Wages'!$K$61</definedName>
    <definedName name="HWELDC">'Plant Wages'!$N$61</definedName>
    <definedName name="HWJO">'Plant Wages'!$H$42</definedName>
    <definedName name="ID">Overview!$I$28</definedName>
    <definedName name="IND">Benefits!$F$85</definedName>
    <definedName name="K401CONT">Benefits!$L$49</definedName>
    <definedName name="K401DOL">Benefits!$L$50</definedName>
    <definedName name="K401K">Benefits!$L$48</definedName>
    <definedName name="K401LMT">Benefits!$M$51</definedName>
    <definedName name="K401PCT">Benefits!$L$51</definedName>
    <definedName name="LAB">Benefits!$F$86</definedName>
    <definedName name="LALL">'Plant Wages'!$G$25</definedName>
    <definedName name="LALLB">'Plant Wages'!$J$25</definedName>
    <definedName name="LALLC">'Plant Wages'!$M$25</definedName>
    <definedName name="LASSM">'Plant Wages'!$G$53</definedName>
    <definedName name="LASSMB">'Plant Wages'!$J$53</definedName>
    <definedName name="LASSMC">'Plant Wages'!$M$53</definedName>
    <definedName name="LBLAN">'Plant Wages'!$G$33</definedName>
    <definedName name="LBLANB">'Plant Wages'!$J$33</definedName>
    <definedName name="LBLANC">'Plant Wages'!$M$33</definedName>
    <definedName name="LCNC">'Plant Wages'!$G$26</definedName>
    <definedName name="LCNCB">'Plant Wages'!$J$26</definedName>
    <definedName name="LCNCC">'Plant Wages'!$M$26</definedName>
    <definedName name="LCYL">'Plant Wages'!$G$34</definedName>
    <definedName name="LCYLB">'Plant Wages'!$J$34</definedName>
    <definedName name="LCYLC">'Plant Wages'!$M$34</definedName>
    <definedName name="LDEBUR">'Plant Wages'!$G$48</definedName>
    <definedName name="LDEBURB">'Plant Wages'!$J$48</definedName>
    <definedName name="LDEBURC">'Plant Wages'!$M$48</definedName>
    <definedName name="LDIE">'Plant Wages'!$G$47</definedName>
    <definedName name="LDIEB">'Plant Wages'!$J$47</definedName>
    <definedName name="LDIEC">'Plant Wages'!$M$47</definedName>
    <definedName name="LEDM">'Plant Wages'!$G$32</definedName>
    <definedName name="LEDMB">'Plant Wages'!$J$32</definedName>
    <definedName name="LEDMC">'Plant Wages'!$M$32</definedName>
    <definedName name="LEFT">'Genl Info'!$I$23</definedName>
    <definedName name="LELEC">'Plant Wages'!$G$31</definedName>
    <definedName name="LELECB">'Plant Wages'!$J$31</definedName>
    <definedName name="LELECC">'Plant Wages'!$M$31</definedName>
    <definedName name="LENG">'Plant Wages'!$G$54</definedName>
    <definedName name="LENGB">'Plant Wages'!$J$54</definedName>
    <definedName name="LENGC">'Plant Wages'!$M$54</definedName>
    <definedName name="LFIRST">'Plant Wages'!$G$19</definedName>
    <definedName name="LFIRSTB">'Plant Wages'!$J$19</definedName>
    <definedName name="LFIRSTC">'Plant Wages'!$M$19</definedName>
    <definedName name="LFIVE">'Plant Wages'!$G$30</definedName>
    <definedName name="LFIVEB">'Plant Wages'!$J$30</definedName>
    <definedName name="LFIVEC">'Plant Wages'!$M$30</definedName>
    <definedName name="LFORTH">'Plant Wages'!$G$22</definedName>
    <definedName name="LFOURTH">'Plant Wages'!$G$22</definedName>
    <definedName name="LFOURTHB">'Plant Wages'!$J$22</definedName>
    <definedName name="LFOURTHC">'Plant Wages'!$M$22</definedName>
    <definedName name="LHMC">'Plant Wages'!$G$28</definedName>
    <definedName name="LHMCB">'Plant Wages'!$J$28</definedName>
    <definedName name="LHMCC">'Plant Wages'!$M$28</definedName>
    <definedName name="LIFE">Benefits!$F$13</definedName>
    <definedName name="LINSP">'Plant Wages'!$G$55</definedName>
    <definedName name="LINSPB">'Plant Wages'!$J$55</definedName>
    <definedName name="LINSPC">'Plant Wages'!$M$55</definedName>
    <definedName name="LLEAD">'Plant Wages'!$G$60</definedName>
    <definedName name="LLEADB">'Plant Wages'!$J$60</definedName>
    <definedName name="LLEADC">'Plant Wages'!$M$60</definedName>
    <definedName name="LMACH">'Plant Wages'!$G$27</definedName>
    <definedName name="LMAIN">'Plant Wages'!$G$56</definedName>
    <definedName name="LMAINB">'Plant Wages'!$J$56</definedName>
    <definedName name="LMAINC">'Plant Wages'!$M$56</definedName>
    <definedName name="LMOLD">'Plant Wages'!$G$46</definedName>
    <definedName name="LMOLDB">'Plant Wages'!$J$46</definedName>
    <definedName name="LMOLDC">'Plant Wages'!$M$46</definedName>
    <definedName name="LMULTI">'Plant Wages'!$G$37</definedName>
    <definedName name="LMULTIB">'Plant Wages'!$J$37</definedName>
    <definedName name="LMULTIC">'Plant Wages'!$M$37</definedName>
    <definedName name="LOB">'Genl Info'!$K$4</definedName>
    <definedName name="LPBO">'Plant Wages'!$G$41</definedName>
    <definedName name="LPOL">'Plant Wages'!$G$49</definedName>
    <definedName name="LPOLB">'Plant Wages'!$J$49</definedName>
    <definedName name="LPOLC">'Plant Wages'!$M$49</definedName>
    <definedName name="LPPO">'Plant Wages'!$G$43</definedName>
    <definedName name="LPROG">'Plant Wages'!$G$57</definedName>
    <definedName name="LPROGB">'Plant Wages'!$J$57</definedName>
    <definedName name="LPROGC">'Plant Wages'!$M$57</definedName>
    <definedName name="LPUR">'Plant Wages'!$G$63</definedName>
    <definedName name="LPURB">'Plant Wages'!$J$63</definedName>
    <definedName name="LPURC">'Plant Wages'!$M$63</definedName>
    <definedName name="LRTM">'Plant Wages'!$G$39</definedName>
    <definedName name="LRTMB">'Plant Wages'!$J$39</definedName>
    <definedName name="LRTMC">'Plant Wages'!$M$39</definedName>
    <definedName name="LSAW">'Plant Wages'!$G$40</definedName>
    <definedName name="LSAWB">'Plant Wages'!$J$40</definedName>
    <definedName name="LSAWC">'Plant Wages'!$M$40</definedName>
    <definedName name="LSECOND">'Plant Wages'!$G$20</definedName>
    <definedName name="LSECONDB">'Plant Wages'!$J$20</definedName>
    <definedName name="LSECONDC">'Plant Wages'!$M$20</definedName>
    <definedName name="LSHIP">'Plant Wages'!$G$58</definedName>
    <definedName name="LSHIPB">'Plant Wages'!$J$58</definedName>
    <definedName name="LSHIPC">'Plant Wages'!$M$58</definedName>
    <definedName name="LSUPR">'Plant Wages'!$G$59</definedName>
    <definedName name="LSUPRB">'Plant Wages'!$J$59</definedName>
    <definedName name="LSUPRC">'Plant Wages'!$M$59</definedName>
    <definedName name="LSUR">'Plant Wages'!$G$35</definedName>
    <definedName name="LSURB">'Plant Wages'!$J$35</definedName>
    <definedName name="LSURC">'Plant Wages'!$M$35</definedName>
    <definedName name="LSWIS">'Plant Wages'!$G$38</definedName>
    <definedName name="LSWISB">'Plant Wages'!$J$38</definedName>
    <definedName name="LSWISC">'Plant Wages'!$M$38</definedName>
    <definedName name="LTD">Benefits!$F$14</definedName>
    <definedName name="LTHIRD">'Plant Wages'!$G$21</definedName>
    <definedName name="LTHIRDB">'Plant Wages'!$J$21</definedName>
    <definedName name="LTHIRDC">'Plant Wages'!$M$21</definedName>
    <definedName name="LTOOL">'Plant Wages'!$G$50</definedName>
    <definedName name="LTOOLB">'Plant Wages'!$J$50</definedName>
    <definedName name="LTOOLC">'Plant Wages'!$M$50</definedName>
    <definedName name="LTURN">'Plant Wages'!$G$36</definedName>
    <definedName name="LTURNB">'Plant Wages'!$J$36</definedName>
    <definedName name="LTURNC">'Plant Wages'!$M$36</definedName>
    <definedName name="LVMC">'Plant Wages'!$G$29</definedName>
    <definedName name="LVMCB">'Plant Wages'!$J$29</definedName>
    <definedName name="LVMCC">'Plant Wages'!$M$29</definedName>
    <definedName name="LWELD">'Plant Wages'!$G$61</definedName>
    <definedName name="LWELDB">'Plant Wages'!$J$61</definedName>
    <definedName name="LWELDC">'Plant Wages'!$M$61</definedName>
    <definedName name="LWJO">'Plant Wages'!$G$42</definedName>
    <definedName name="MAJOR">Benefits!#REF!</definedName>
    <definedName name="MANUAL">Benefits!$J$99</definedName>
    <definedName name="MED">Benefits!$F$6</definedName>
    <definedName name="MEDCO">Benefits!$L$6</definedName>
    <definedName name="MEM">Benefits!$B$90</definedName>
    <definedName name="MLK">Benefits!$B$87</definedName>
    <definedName name="MOLD">'Genl Info'!$I$5</definedName>
    <definedName name="MONEY">Benefits!$L$47</definedName>
    <definedName name="NALL">'Plant Wages'!$F$25</definedName>
    <definedName name="NAME">Overview!$D$28</definedName>
    <definedName name="NASSM">'Plant Wages'!$F$53</definedName>
    <definedName name="NBLAN">'Plant Wages'!$F$33</definedName>
    <definedName name="NCNC">'Plant Wages'!$F$26</definedName>
    <definedName name="NCYL">'Plant Wages'!$F$34</definedName>
    <definedName name="NDEBUR">'Plant Wages'!$F$48</definedName>
    <definedName name="NDIE">'Plant Wages'!$F$47</definedName>
    <definedName name="NEAR">#REF!</definedName>
    <definedName name="NEDM">'Plant Wages'!$F$32</definedName>
    <definedName name="NELEC">'Plant Wages'!$F$31</definedName>
    <definedName name="NENG">'Plant Wages'!$F$54</definedName>
    <definedName name="NEW">Benefits!$B$86</definedName>
    <definedName name="NEWEVE">Benefits!$B$85</definedName>
    <definedName name="NFIRST">'Plant Wages'!$F$19</definedName>
    <definedName name="NFIVE">'Plant Wages'!$F$30</definedName>
    <definedName name="NFORTH">'Plant Wages'!$F$22</definedName>
    <definedName name="NFOURTH">'Plant Wages'!$F$22</definedName>
    <definedName name="NHMC">'Plant Wages'!$F$28</definedName>
    <definedName name="NINSP">'Plant Wages'!$F$55</definedName>
    <definedName name="NLEAD">'Plant Wages'!$F$60</definedName>
    <definedName name="NMACH">'Plant Wages'!$F$27</definedName>
    <definedName name="NMAIN">'Plant Wages'!$F$56</definedName>
    <definedName name="NMOLD">'Plant Wages'!$F$46</definedName>
    <definedName name="NMULTI">'Plant Wages'!$F$37</definedName>
    <definedName name="NOTEST">#REF!</definedName>
    <definedName name="NPBO">'Plant Wages'!$F$41</definedName>
    <definedName name="NPOL">'Plant Wages'!$F$49</definedName>
    <definedName name="NPPO">'Plant Wages'!$F$43</definedName>
    <definedName name="NPROG">'Plant Wages'!$F$57</definedName>
    <definedName name="NPUR">'Plant Wages'!$F$63</definedName>
    <definedName name="NRTM">'Plant Wages'!$F$39</definedName>
    <definedName name="NS">'Genl Info'!$I$13</definedName>
    <definedName name="NSAW">'Plant Wages'!$F$40</definedName>
    <definedName name="NSECOND">'Plant Wages'!$F$20</definedName>
    <definedName name="NSHIP">'Plant Wages'!$F$58</definedName>
    <definedName name="NSMIL">'Genl Info'!$I$13</definedName>
    <definedName name="NSUPR">'Plant Wages'!$F$59</definedName>
    <definedName name="NSUR">'Plant Wages'!$F$35</definedName>
    <definedName name="NSWIS">'Plant Wages'!$F$38</definedName>
    <definedName name="NTHIRD">'Plant Wages'!$F$21</definedName>
    <definedName name="NTOOL">'Plant Wages'!$F$50</definedName>
    <definedName name="NTURN">'Plant Wages'!$F$36</definedName>
    <definedName name="NUM">Benefits!$L$37</definedName>
    <definedName name="NVMC">'Plant Wages'!$F$29</definedName>
    <definedName name="NWELD">'Plant Wages'!$F$61</definedName>
    <definedName name="NWJO">'Plant Wages'!$F$42</definedName>
    <definedName name="OCLASS">'Genl Info'!$I$11</definedName>
    <definedName name="OTH">Benefits!$K$89</definedName>
    <definedName name="OTRATE">#REF!</definedName>
    <definedName name="PARENT">Benefits!$B$61</definedName>
    <definedName name="PARTY">Benefits!$B$69</definedName>
    <definedName name="PDAY">Benefits!$B$88</definedName>
    <definedName name="PER">Benefits!$K$87</definedName>
    <definedName name="PHONE">Overview!$D$35</definedName>
    <definedName name="PLAIN">#REF!</definedName>
    <definedName name="PLAMT">#REF!</definedName>
    <definedName name="PLDOL">#REF!</definedName>
    <definedName name="PLPAID">#REF!</definedName>
    <definedName name="PLPCT">#REF!</definedName>
    <definedName name="POS">Benefits!$F$24</definedName>
    <definedName name="POSCO">Benefits!$L$24</definedName>
    <definedName name="PPO">Benefits!$F$25</definedName>
    <definedName name="PPOCO">Benefits!$L$25</definedName>
    <definedName name="PRAMT">#REF!</definedName>
    <definedName name="PRDOL">#REF!</definedName>
    <definedName name="PRE">Benefits!#REF!</definedName>
    <definedName name="PRECARE">Benefits!$L$56</definedName>
    <definedName name="PREMED">Benefits!$L$55</definedName>
    <definedName name="PRESC">#REF!</definedName>
    <definedName name="PRETEST">#REF!</definedName>
    <definedName name="_xlnm.Print_Area" localSheetId="3">Benefits!$A$1:$M$103</definedName>
    <definedName name="_xlnm.Print_Area" localSheetId="5">Data!#REF!</definedName>
    <definedName name="_xlnm.Print_Area" localSheetId="1">'Genl Info'!$A$1:$K$42</definedName>
    <definedName name="_xlnm.Print_Area" localSheetId="0">Overview!$A$1:$L$39</definedName>
    <definedName name="_xlnm.Print_Area" localSheetId="2">'Plant Wages'!$A$1:$AO$64</definedName>
    <definedName name="_xlnm.Print_Area" localSheetId="4">Print!$A$2:$M$254</definedName>
    <definedName name="PROD">'Genl Info'!$I$9</definedName>
    <definedName name="PRPAID">#REF!</definedName>
    <definedName name="PRPCT">#REF!</definedName>
    <definedName name="RANDOM">#REF!</definedName>
    <definedName name="REL">Benefits!$K$88</definedName>
    <definedName name="RMIC">Benefits!$F$12</definedName>
    <definedName name="RMICCO">Benefits!$L$12</definedName>
    <definedName name="SATPAY">#REF!</definedName>
    <definedName name="SDAYS">Benefits!$L$98</definedName>
    <definedName name="SEP">Benefits!$L$45</definedName>
    <definedName name="SHARING">Benefits!$L$46</definedName>
    <definedName name="SHEET">'Genl Info'!$I$10</definedName>
    <definedName name="SHIFT2">#REF!</definedName>
    <definedName name="SHIFT3">#REF!</definedName>
    <definedName name="SICK">Benefits!$L$97</definedName>
    <definedName name="SINGLE">Benefits!$L$32</definedName>
    <definedName name="SPEC">'Genl Info'!$I$8</definedName>
    <definedName name="SPOUSE">Benefits!$L$34</definedName>
    <definedName name="STATE">Overview!$D$33</definedName>
    <definedName name="STD">Benefits!$F$15</definedName>
    <definedName name="SUNPAY">#REF!</definedName>
    <definedName name="THA">Benefits!$F$88</definedName>
    <definedName name="TOOL">'Genl Info'!$I$4</definedName>
    <definedName name="TRAD">Benefits!$F$22</definedName>
    <definedName name="TRADCO">Benefits!$L$22</definedName>
    <definedName name="TRAIN">#REF!</definedName>
    <definedName name="UNION">Benefits!$J$100</definedName>
    <definedName name="VAC">Benefits!$L$80</definedName>
    <definedName name="VET">Benefits!$F$87</definedName>
    <definedName name="WK1_a">Benefits!$L$74</definedName>
    <definedName name="WK2_a">Benefits!$L$75</definedName>
    <definedName name="WK3_a">Benefits!$L$76</definedName>
    <definedName name="WK4_a">Benefits!$L$77</definedName>
    <definedName name="WK4A">Benefits!$L$80</definedName>
    <definedName name="WK5_a">Benefits!$L$78</definedName>
    <definedName name="WK5A">Benefits!$L$81</definedName>
    <definedName name="XEVE">Benefits!$K$85</definedName>
    <definedName name="XMAS">Benefits!$K$86</definedName>
    <definedName name="YEB">Benefits!$B$70</definedName>
    <definedName name="YesNoList" localSheetId="1">'Genl Info'!$AE$2:$AE$5</definedName>
    <definedName name="YesNoList">#REF!</definedName>
    <definedName name="YR">Overview!$H$2</definedName>
    <definedName name="ZIPCODE">Overview!$D$34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4" i="21" l="1"/>
  <c r="B543" i="21" s="1"/>
  <c r="B541" i="21"/>
  <c r="B540" i="21"/>
  <c r="B538" i="21" s="1"/>
  <c r="B537" i="21"/>
  <c r="B536" i="21"/>
  <c r="B534" i="21" s="1"/>
  <c r="B533" i="21"/>
  <c r="B99" i="21"/>
  <c r="B98" i="21" s="1"/>
  <c r="B542" i="21" l="1"/>
  <c r="B539" i="21"/>
  <c r="B535" i="21"/>
  <c r="B97" i="21"/>
  <c r="J2" i="21"/>
  <c r="B21" i="21"/>
  <c r="B20" i="21"/>
  <c r="B19" i="21"/>
  <c r="B18" i="21"/>
  <c r="B17" i="21"/>
  <c r="B16" i="21"/>
  <c r="B15" i="21"/>
  <c r="B14" i="21"/>
  <c r="I34" i="12"/>
  <c r="B12" i="21"/>
  <c r="B26" i="21"/>
  <c r="B25" i="21"/>
  <c r="B24" i="21"/>
  <c r="B22" i="21"/>
  <c r="B2" i="21"/>
  <c r="B513" i="21"/>
  <c r="K228" i="12"/>
  <c r="K227" i="12"/>
  <c r="K226" i="12"/>
  <c r="K225" i="12"/>
  <c r="K224" i="12"/>
  <c r="K202" i="12"/>
  <c r="K203" i="12"/>
  <c r="K205" i="12"/>
  <c r="K206" i="12"/>
  <c r="K204" i="12"/>
  <c r="C203" i="12"/>
  <c r="K201" i="12"/>
  <c r="C201" i="12"/>
  <c r="K167" i="12"/>
  <c r="B168" i="12"/>
  <c r="B167" i="12"/>
  <c r="A167" i="12"/>
  <c r="B79" i="21"/>
  <c r="B78" i="21"/>
  <c r="B77" i="21"/>
  <c r="B66" i="21"/>
  <c r="B65" i="21"/>
  <c r="B64" i="21"/>
  <c r="B53" i="21"/>
  <c r="B52" i="21"/>
  <c r="B51" i="21"/>
  <c r="B40" i="21"/>
  <c r="B39" i="21"/>
  <c r="B38" i="21"/>
  <c r="B469" i="21"/>
  <c r="B468" i="21"/>
  <c r="B467" i="21"/>
  <c r="B456" i="21"/>
  <c r="B455" i="21"/>
  <c r="B454" i="21"/>
  <c r="B443" i="21"/>
  <c r="B442" i="21"/>
  <c r="B441" i="21"/>
  <c r="B430" i="21"/>
  <c r="B429" i="21"/>
  <c r="B428" i="21"/>
  <c r="B417" i="21"/>
  <c r="B416" i="21"/>
  <c r="B415" i="21"/>
  <c r="B404" i="21"/>
  <c r="B403" i="21"/>
  <c r="B402" i="21"/>
  <c r="B391" i="21"/>
  <c r="B390" i="21"/>
  <c r="B389" i="21"/>
  <c r="B378" i="21"/>
  <c r="B377" i="21"/>
  <c r="B376" i="21"/>
  <c r="B365" i="21"/>
  <c r="B364" i="21"/>
  <c r="B363" i="21"/>
  <c r="B352" i="21"/>
  <c r="B351" i="21"/>
  <c r="B350" i="21"/>
  <c r="B339" i="21"/>
  <c r="B338" i="21"/>
  <c r="B337" i="21"/>
  <c r="B326" i="21"/>
  <c r="B325" i="21"/>
  <c r="B324" i="21"/>
  <c r="B313" i="21"/>
  <c r="B312" i="21"/>
  <c r="B311" i="21"/>
  <c r="B300" i="21"/>
  <c r="B299" i="21"/>
  <c r="B298" i="21"/>
  <c r="B287" i="21"/>
  <c r="B286" i="21"/>
  <c r="B285" i="21"/>
  <c r="B274" i="21"/>
  <c r="B273" i="21"/>
  <c r="B272" i="21"/>
  <c r="B261" i="21"/>
  <c r="B260" i="21"/>
  <c r="B259" i="21"/>
  <c r="B248" i="21"/>
  <c r="B247" i="21"/>
  <c r="B246" i="21"/>
  <c r="B235" i="21"/>
  <c r="B234" i="21"/>
  <c r="B233" i="21"/>
  <c r="B222" i="21"/>
  <c r="B221" i="21"/>
  <c r="B220" i="21"/>
  <c r="B209" i="21"/>
  <c r="B208" i="21"/>
  <c r="B207" i="21"/>
  <c r="B196" i="21"/>
  <c r="B195" i="21"/>
  <c r="B194" i="21"/>
  <c r="B183" i="21"/>
  <c r="B182" i="21"/>
  <c r="B181" i="21"/>
  <c r="B170" i="21"/>
  <c r="B169" i="21"/>
  <c r="B168" i="21"/>
  <c r="B157" i="21"/>
  <c r="B156" i="21"/>
  <c r="B155" i="21"/>
  <c r="B144" i="21"/>
  <c r="B143" i="21"/>
  <c r="B142" i="21"/>
  <c r="B131" i="21"/>
  <c r="B130" i="21"/>
  <c r="B129" i="21"/>
  <c r="B118" i="21"/>
  <c r="B117" i="21"/>
  <c r="B116" i="21"/>
  <c r="B105" i="21"/>
  <c r="B104" i="21"/>
  <c r="B103" i="21"/>
  <c r="B92" i="21"/>
  <c r="B91" i="21"/>
  <c r="B90" i="21"/>
  <c r="K160" i="12"/>
  <c r="K159" i="12"/>
  <c r="K158" i="12"/>
  <c r="K157" i="12"/>
  <c r="K156" i="12"/>
  <c r="K155" i="12"/>
  <c r="K175" i="12"/>
  <c r="K196" i="12"/>
  <c r="K246" i="12"/>
  <c r="K232" i="12"/>
  <c r="K247" i="12"/>
  <c r="K231" i="12"/>
  <c r="K230" i="12"/>
  <c r="K222" i="12"/>
  <c r="B76" i="21"/>
  <c r="B75" i="21" s="1"/>
  <c r="B73" i="21"/>
  <c r="B72" i="21" s="1"/>
  <c r="B63" i="21"/>
  <c r="B62" i="21" s="1"/>
  <c r="B60" i="21"/>
  <c r="B59" i="21" s="1"/>
  <c r="B50" i="21"/>
  <c r="B49" i="21" s="1"/>
  <c r="B47" i="21"/>
  <c r="B46" i="21" s="1"/>
  <c r="B37" i="21"/>
  <c r="B36" i="21" s="1"/>
  <c r="B34" i="21"/>
  <c r="B33" i="21" s="1"/>
  <c r="B258" i="21"/>
  <c r="B257" i="21" s="1"/>
  <c r="B255" i="21"/>
  <c r="B254" i="21" s="1"/>
  <c r="B252" i="21"/>
  <c r="B251" i="21" s="1"/>
  <c r="B249" i="21"/>
  <c r="B245" i="21"/>
  <c r="B244" i="21" s="1"/>
  <c r="B242" i="21"/>
  <c r="B240" i="21" s="1"/>
  <c r="B239" i="21"/>
  <c r="B237" i="21" s="1"/>
  <c r="B236" i="21"/>
  <c r="B232" i="21"/>
  <c r="B231" i="21" s="1"/>
  <c r="B229" i="21"/>
  <c r="B228" i="21" s="1"/>
  <c r="B226" i="21"/>
  <c r="B225" i="21" s="1"/>
  <c r="B223" i="21"/>
  <c r="B219" i="21"/>
  <c r="B218" i="21" s="1"/>
  <c r="B216" i="21"/>
  <c r="B215" i="21" s="1"/>
  <c r="B213" i="21"/>
  <c r="B211" i="21" s="1"/>
  <c r="B210" i="21"/>
  <c r="B206" i="21"/>
  <c r="B205" i="21" s="1"/>
  <c r="B203" i="21"/>
  <c r="B202" i="21" s="1"/>
  <c r="B200" i="21"/>
  <c r="B199" i="21" s="1"/>
  <c r="B197" i="21"/>
  <c r="B193" i="21"/>
  <c r="B191" i="21" s="1"/>
  <c r="B190" i="21"/>
  <c r="B189" i="21" s="1"/>
  <c r="B187" i="21"/>
  <c r="B186" i="21" s="1"/>
  <c r="B184" i="21"/>
  <c r="B180" i="21"/>
  <c r="B179" i="21" s="1"/>
  <c r="B177" i="21"/>
  <c r="B176" i="21" s="1"/>
  <c r="B174" i="21"/>
  <c r="B173" i="21" s="1"/>
  <c r="B171" i="21"/>
  <c r="B440" i="21"/>
  <c r="B439" i="21" s="1"/>
  <c r="B437" i="21"/>
  <c r="B436" i="21" s="1"/>
  <c r="B434" i="21"/>
  <c r="B432" i="21" s="1"/>
  <c r="B431" i="21"/>
  <c r="B466" i="21"/>
  <c r="B465" i="21" s="1"/>
  <c r="B463" i="21"/>
  <c r="B462" i="21" s="1"/>
  <c r="B453" i="21"/>
  <c r="B452" i="21" s="1"/>
  <c r="B450" i="21"/>
  <c r="B449" i="21" s="1"/>
  <c r="B427" i="21"/>
  <c r="B426" i="21" s="1"/>
  <c r="B424" i="21"/>
  <c r="B423" i="21" s="1"/>
  <c r="B414" i="21"/>
  <c r="B413" i="21" s="1"/>
  <c r="B411" i="21"/>
  <c r="B410" i="21" s="1"/>
  <c r="B460" i="21"/>
  <c r="B459" i="21" s="1"/>
  <c r="B447" i="21"/>
  <c r="B446" i="21" s="1"/>
  <c r="B421" i="21"/>
  <c r="B420" i="21" s="1"/>
  <c r="B408" i="21"/>
  <c r="B407" i="21" s="1"/>
  <c r="B401" i="21"/>
  <c r="B400" i="21" s="1"/>
  <c r="B398" i="21"/>
  <c r="B397" i="21" s="1"/>
  <c r="B388" i="21"/>
  <c r="B387" i="21" s="1"/>
  <c r="B385" i="21"/>
  <c r="B384" i="21" s="1"/>
  <c r="B382" i="21"/>
  <c r="B380" i="21" s="1"/>
  <c r="B395" i="21"/>
  <c r="B393" i="21" s="1"/>
  <c r="B271" i="21"/>
  <c r="B270" i="21" s="1"/>
  <c r="B268" i="21"/>
  <c r="B267" i="21" s="1"/>
  <c r="B265" i="21"/>
  <c r="B264" i="21" s="1"/>
  <c r="B375" i="21"/>
  <c r="B373" i="21" s="1"/>
  <c r="B372" i="21"/>
  <c r="B371" i="21" s="1"/>
  <c r="B369" i="21"/>
  <c r="B368" i="21" s="1"/>
  <c r="B362" i="21"/>
  <c r="B360" i="21" s="1"/>
  <c r="B359" i="21"/>
  <c r="B358" i="21" s="1"/>
  <c r="B343" i="21"/>
  <c r="B341" i="21" s="1"/>
  <c r="B349" i="21"/>
  <c r="B348" i="21" s="1"/>
  <c r="B346" i="21"/>
  <c r="B344" i="21" s="1"/>
  <c r="B336" i="21"/>
  <c r="B334" i="21" s="1"/>
  <c r="B333" i="21"/>
  <c r="B332" i="21" s="1"/>
  <c r="B323" i="21"/>
  <c r="B322" i="21" s="1"/>
  <c r="B320" i="21"/>
  <c r="B318" i="21" s="1"/>
  <c r="B330" i="21"/>
  <c r="B328" i="21" s="1"/>
  <c r="B317" i="21"/>
  <c r="B316" i="21" s="1"/>
  <c r="B356" i="21"/>
  <c r="B355" i="21" s="1"/>
  <c r="B284" i="21"/>
  <c r="B282" i="21" s="1"/>
  <c r="B281" i="21"/>
  <c r="B279" i="21" s="1"/>
  <c r="B278" i="21"/>
  <c r="B277" i="21" s="1"/>
  <c r="B154" i="21"/>
  <c r="B153" i="21" s="1"/>
  <c r="B151" i="21"/>
  <c r="B149" i="21" s="1"/>
  <c r="B148" i="21"/>
  <c r="B146" i="21" s="1"/>
  <c r="B145" i="21"/>
  <c r="B141" i="21"/>
  <c r="B140" i="21" s="1"/>
  <c r="B138" i="21"/>
  <c r="B137" i="21" s="1"/>
  <c r="B135" i="21"/>
  <c r="B134" i="21" s="1"/>
  <c r="B132" i="21"/>
  <c r="B128" i="21"/>
  <c r="B127" i="21" s="1"/>
  <c r="B125" i="21"/>
  <c r="B124" i="21" s="1"/>
  <c r="B122" i="21"/>
  <c r="B121" i="21" s="1"/>
  <c r="B119" i="21"/>
  <c r="B115" i="21"/>
  <c r="B113" i="21" s="1"/>
  <c r="B112" i="21"/>
  <c r="B111" i="21" s="1"/>
  <c r="B109" i="21"/>
  <c r="B108" i="21" s="1"/>
  <c r="B106" i="21"/>
  <c r="B167" i="21"/>
  <c r="B165" i="21" s="1"/>
  <c r="B164" i="21"/>
  <c r="B163" i="21" s="1"/>
  <c r="B161" i="21"/>
  <c r="B160" i="21" s="1"/>
  <c r="B102" i="21"/>
  <c r="B100" i="21" s="1"/>
  <c r="B96" i="21"/>
  <c r="B95" i="21" s="1"/>
  <c r="B93" i="21"/>
  <c r="B307" i="21"/>
  <c r="B306" i="21" s="1"/>
  <c r="B310" i="21"/>
  <c r="B309" i="21" s="1"/>
  <c r="B304" i="21"/>
  <c r="B303" i="21" s="1"/>
  <c r="B297" i="21"/>
  <c r="B296" i="21" s="1"/>
  <c r="B294" i="21"/>
  <c r="B293" i="21" s="1"/>
  <c r="B291" i="21"/>
  <c r="B290" i="21" s="1"/>
  <c r="B89" i="21"/>
  <c r="B87" i="21" s="1"/>
  <c r="B86" i="21"/>
  <c r="B85" i="21" s="1"/>
  <c r="B83" i="21"/>
  <c r="B82" i="21" s="1"/>
  <c r="I95" i="12"/>
  <c r="I94" i="12"/>
  <c r="I93" i="12"/>
  <c r="I92" i="12"/>
  <c r="I91" i="12"/>
  <c r="I90" i="12"/>
  <c r="I89" i="12"/>
  <c r="I88" i="12"/>
  <c r="I87" i="12"/>
  <c r="I86" i="12"/>
  <c r="I83" i="12"/>
  <c r="I82" i="12"/>
  <c r="I81" i="12"/>
  <c r="I80" i="12"/>
  <c r="I79" i="12"/>
  <c r="I76" i="12"/>
  <c r="I75" i="12"/>
  <c r="I74" i="12"/>
  <c r="I73" i="12"/>
  <c r="I72" i="12"/>
  <c r="I71" i="12"/>
  <c r="I70" i="12"/>
  <c r="I69" i="12"/>
  <c r="I68" i="12"/>
  <c r="I67" i="12"/>
  <c r="I66" i="12"/>
  <c r="I65" i="12"/>
  <c r="I64" i="12"/>
  <c r="I63" i="12"/>
  <c r="I62" i="12"/>
  <c r="H95" i="12"/>
  <c r="H94" i="12"/>
  <c r="H93" i="12"/>
  <c r="H92" i="12"/>
  <c r="H91" i="12"/>
  <c r="H90" i="12"/>
  <c r="H89" i="12"/>
  <c r="H88" i="12"/>
  <c r="H87" i="12"/>
  <c r="H86" i="12"/>
  <c r="H83" i="12"/>
  <c r="H81" i="12"/>
  <c r="H80" i="12"/>
  <c r="H79" i="12"/>
  <c r="H76" i="12"/>
  <c r="H75" i="12"/>
  <c r="H74" i="12"/>
  <c r="H73" i="12"/>
  <c r="H72" i="12"/>
  <c r="H71" i="12"/>
  <c r="H70" i="12"/>
  <c r="H69" i="12"/>
  <c r="H68" i="12"/>
  <c r="H67" i="12"/>
  <c r="H66" i="12"/>
  <c r="H65" i="12"/>
  <c r="H64" i="12"/>
  <c r="H63" i="12"/>
  <c r="H62" i="12"/>
  <c r="G95" i="12"/>
  <c r="G94" i="12"/>
  <c r="G93" i="12"/>
  <c r="G92" i="12"/>
  <c r="G91" i="12"/>
  <c r="G90" i="12"/>
  <c r="G89" i="12"/>
  <c r="G88" i="12"/>
  <c r="G87" i="12"/>
  <c r="G86" i="12"/>
  <c r="G83" i="12"/>
  <c r="G82" i="12"/>
  <c r="G81" i="12"/>
  <c r="G80" i="12"/>
  <c r="G79" i="12"/>
  <c r="G76" i="12"/>
  <c r="G75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I85" i="12"/>
  <c r="H85" i="12"/>
  <c r="G85" i="12"/>
  <c r="H84" i="12"/>
  <c r="I78" i="12"/>
  <c r="H78" i="12"/>
  <c r="G78" i="12"/>
  <c r="H77" i="12"/>
  <c r="I61" i="12"/>
  <c r="H61" i="12"/>
  <c r="G61" i="12"/>
  <c r="H60" i="12"/>
  <c r="I56" i="12"/>
  <c r="F59" i="12"/>
  <c r="G59" i="12"/>
  <c r="I59" i="12"/>
  <c r="H59" i="12"/>
  <c r="H56" i="12"/>
  <c r="F58" i="12"/>
  <c r="I58" i="12"/>
  <c r="H58" i="12"/>
  <c r="G58" i="12"/>
  <c r="I57" i="12"/>
  <c r="H57" i="12"/>
  <c r="G57" i="12"/>
  <c r="G56" i="12"/>
  <c r="F57" i="12"/>
  <c r="F56" i="12"/>
  <c r="H54" i="12"/>
  <c r="I24" i="11"/>
  <c r="B27" i="21" s="1"/>
  <c r="I42" i="12"/>
  <c r="I38" i="12"/>
  <c r="I36" i="12"/>
  <c r="A87" i="12"/>
  <c r="A88" i="12"/>
  <c r="A89" i="12"/>
  <c r="A90" i="12"/>
  <c r="A91" i="12"/>
  <c r="A92" i="12"/>
  <c r="A93" i="12"/>
  <c r="A94" i="12"/>
  <c r="A95" i="12"/>
  <c r="K166" i="12"/>
  <c r="A166" i="12"/>
  <c r="B166" i="12"/>
  <c r="C165" i="12"/>
  <c r="A178" i="12"/>
  <c r="B178" i="12"/>
  <c r="F179" i="12"/>
  <c r="G179" i="12"/>
  <c r="I179" i="12"/>
  <c r="K179" i="12"/>
  <c r="F180" i="12"/>
  <c r="G180" i="12"/>
  <c r="I180" i="12"/>
  <c r="K180" i="12"/>
  <c r="F181" i="12"/>
  <c r="G181" i="12"/>
  <c r="I181" i="12"/>
  <c r="K181" i="12"/>
  <c r="A182" i="12"/>
  <c r="F182" i="12"/>
  <c r="G182" i="12"/>
  <c r="H182" i="12"/>
  <c r="I182" i="12"/>
  <c r="K182" i="12"/>
  <c r="A183" i="12"/>
  <c r="F183" i="12"/>
  <c r="G183" i="12"/>
  <c r="H183" i="12"/>
  <c r="I183" i="12"/>
  <c r="K183" i="12"/>
  <c r="L183" i="12"/>
  <c r="K184" i="12"/>
  <c r="L184" i="12"/>
  <c r="A185" i="12"/>
  <c r="F185" i="12"/>
  <c r="G185" i="12"/>
  <c r="H185" i="12"/>
  <c r="I185" i="12"/>
  <c r="K185" i="12"/>
  <c r="A186" i="12"/>
  <c r="F186" i="12"/>
  <c r="G186" i="12"/>
  <c r="H186" i="12"/>
  <c r="I186" i="12"/>
  <c r="K186" i="12"/>
  <c r="A187" i="12"/>
  <c r="F187" i="12"/>
  <c r="G187" i="12"/>
  <c r="H187" i="12"/>
  <c r="I187" i="12"/>
  <c r="K187" i="12"/>
  <c r="A188" i="12"/>
  <c r="F188" i="12"/>
  <c r="G188" i="12"/>
  <c r="H188" i="12"/>
  <c r="A189" i="12"/>
  <c r="F189" i="12"/>
  <c r="G189" i="12"/>
  <c r="H189" i="12"/>
  <c r="A190" i="12"/>
  <c r="F190" i="12"/>
  <c r="G190" i="12"/>
  <c r="H190" i="12"/>
  <c r="A191" i="12"/>
  <c r="F191" i="12"/>
  <c r="G191" i="12"/>
  <c r="H191" i="12"/>
  <c r="B192" i="12"/>
  <c r="F164" i="12"/>
  <c r="G164" i="12"/>
  <c r="H164" i="12"/>
  <c r="F156" i="12"/>
  <c r="G156" i="12"/>
  <c r="H156" i="12"/>
  <c r="I156" i="12"/>
  <c r="F157" i="12"/>
  <c r="G157" i="12"/>
  <c r="H157" i="12"/>
  <c r="I157" i="12"/>
  <c r="F159" i="12"/>
  <c r="G159" i="12"/>
  <c r="H159" i="12"/>
  <c r="I159" i="12"/>
  <c r="F160" i="12"/>
  <c r="G160" i="12"/>
  <c r="H160" i="12"/>
  <c r="I160" i="12"/>
  <c r="F161" i="12"/>
  <c r="G161" i="12"/>
  <c r="H161" i="12"/>
  <c r="F162" i="12"/>
  <c r="G162" i="12"/>
  <c r="H162" i="12"/>
  <c r="F163" i="12"/>
  <c r="G163" i="12"/>
  <c r="H163" i="12"/>
  <c r="I155" i="12"/>
  <c r="H155" i="12"/>
  <c r="G155" i="12"/>
  <c r="F155" i="12"/>
  <c r="L158" i="12"/>
  <c r="L157" i="12"/>
  <c r="B162" i="12"/>
  <c r="B163" i="12"/>
  <c r="B164" i="12"/>
  <c r="B155" i="12"/>
  <c r="B156" i="12"/>
  <c r="B157" i="12"/>
  <c r="B159" i="12"/>
  <c r="B160" i="12"/>
  <c r="B161" i="12"/>
  <c r="B152" i="12"/>
  <c r="A152" i="12"/>
  <c r="B500" i="21"/>
  <c r="B495" i="21"/>
  <c r="B486" i="21"/>
  <c r="B477" i="21"/>
  <c r="B526" i="21"/>
  <c r="B525" i="21"/>
  <c r="B70" i="21"/>
  <c r="B68" i="21" s="1"/>
  <c r="B57" i="21"/>
  <c r="B55" i="21" s="1"/>
  <c r="B44" i="21"/>
  <c r="B43" i="21" s="1"/>
  <c r="B31" i="21"/>
  <c r="B30" i="21" s="1"/>
  <c r="E2" i="21"/>
  <c r="K2" i="21"/>
  <c r="I2" i="21"/>
  <c r="H2" i="21"/>
  <c r="G2" i="21"/>
  <c r="F2" i="21"/>
  <c r="C2" i="21"/>
  <c r="B530" i="21"/>
  <c r="B528" i="21"/>
  <c r="B519" i="21"/>
  <c r="B518" i="21"/>
  <c r="B517" i="21"/>
  <c r="B516" i="21"/>
  <c r="B515" i="21"/>
  <c r="B514" i="21"/>
  <c r="B510" i="21"/>
  <c r="B509" i="21"/>
  <c r="B508" i="21"/>
  <c r="B507" i="21"/>
  <c r="B506" i="21"/>
  <c r="B485" i="21"/>
  <c r="B484" i="21"/>
  <c r="B483" i="21"/>
  <c r="B482" i="21"/>
  <c r="B481" i="21"/>
  <c r="B480" i="21"/>
  <c r="B479" i="21"/>
  <c r="B478" i="21"/>
  <c r="B471" i="21"/>
  <c r="B470" i="21"/>
  <c r="J134" i="12"/>
  <c r="J115" i="12"/>
  <c r="J112" i="12"/>
  <c r="B457" i="21"/>
  <c r="B531" i="21"/>
  <c r="B529" i="21"/>
  <c r="B527" i="21"/>
  <c r="B524" i="21"/>
  <c r="B523" i="21"/>
  <c r="B522" i="21"/>
  <c r="B521" i="21"/>
  <c r="B520" i="21"/>
  <c r="B512" i="21"/>
  <c r="B511" i="21"/>
  <c r="B505" i="21"/>
  <c r="B504" i="21"/>
  <c r="B503" i="21"/>
  <c r="B502" i="21"/>
  <c r="B501" i="21"/>
  <c r="B499" i="21"/>
  <c r="B498" i="21"/>
  <c r="B497" i="21"/>
  <c r="B496" i="21"/>
  <c r="B494" i="21"/>
  <c r="B493" i="21"/>
  <c r="B492" i="21"/>
  <c r="B491" i="21"/>
  <c r="B490" i="21"/>
  <c r="B489" i="21"/>
  <c r="B488" i="21"/>
  <c r="B487" i="21"/>
  <c r="B476" i="21"/>
  <c r="B475" i="21"/>
  <c r="B474" i="21"/>
  <c r="B473" i="21"/>
  <c r="B472" i="21"/>
  <c r="B444" i="21"/>
  <c r="B418" i="21"/>
  <c r="B405" i="21"/>
  <c r="B379" i="21"/>
  <c r="B366" i="21"/>
  <c r="B301" i="21"/>
  <c r="B340" i="21"/>
  <c r="B392" i="21"/>
  <c r="B327" i="21"/>
  <c r="B262" i="21"/>
  <c r="B314" i="21"/>
  <c r="B275" i="21"/>
  <c r="B80" i="21"/>
  <c r="B353" i="21"/>
  <c r="B158" i="21"/>
  <c r="B288" i="21"/>
  <c r="B67" i="21"/>
  <c r="B54" i="21"/>
  <c r="B41" i="21"/>
  <c r="B28" i="21"/>
  <c r="B23" i="21"/>
  <c r="B10" i="21"/>
  <c r="D2" i="21"/>
  <c r="I55" i="12"/>
  <c r="H55" i="12"/>
  <c r="C53" i="12"/>
  <c r="C51" i="12"/>
  <c r="C50" i="12"/>
  <c r="C49" i="12"/>
  <c r="C48" i="12"/>
  <c r="B48" i="12"/>
  <c r="B50" i="12"/>
  <c r="B49" i="12"/>
  <c r="A47" i="12"/>
  <c r="F75" i="12"/>
  <c r="B75" i="12"/>
  <c r="D28" i="12"/>
  <c r="B28" i="12"/>
  <c r="D27" i="12"/>
  <c r="B27" i="12"/>
  <c r="K210" i="12"/>
  <c r="G16" i="12"/>
  <c r="B16" i="12"/>
  <c r="F85" i="12"/>
  <c r="F84" i="12"/>
  <c r="F78" i="12"/>
  <c r="F77" i="12"/>
  <c r="F61" i="12"/>
  <c r="F60" i="12"/>
  <c r="B21" i="12"/>
  <c r="C19" i="12"/>
  <c r="J149" i="12"/>
  <c r="I149" i="12"/>
  <c r="B149" i="12"/>
  <c r="I137" i="12"/>
  <c r="I131" i="12"/>
  <c r="B85" i="12"/>
  <c r="B78" i="12"/>
  <c r="J249" i="12"/>
  <c r="J248" i="12"/>
  <c r="J246" i="12"/>
  <c r="K92" i="16"/>
  <c r="J241" i="12" s="1"/>
  <c r="J231" i="12"/>
  <c r="J230" i="12"/>
  <c r="J222" i="12"/>
  <c r="J177" i="12"/>
  <c r="J176" i="12"/>
  <c r="K241" i="12"/>
  <c r="B245" i="12"/>
  <c r="B244" i="12"/>
  <c r="B243" i="12"/>
  <c r="B242" i="12"/>
  <c r="B241" i="12"/>
  <c r="A241" i="12"/>
  <c r="B222" i="12"/>
  <c r="A222" i="12"/>
  <c r="J150" i="12"/>
  <c r="J148" i="12"/>
  <c r="J147" i="12"/>
  <c r="J145" i="12"/>
  <c r="J144" i="12"/>
  <c r="J141" i="12"/>
  <c r="J140" i="12"/>
  <c r="J139" i="12"/>
  <c r="J133" i="12"/>
  <c r="J128" i="12"/>
  <c r="J127" i="12"/>
  <c r="E137" i="12"/>
  <c r="D137" i="12"/>
  <c r="B137" i="12"/>
  <c r="I136" i="12"/>
  <c r="B136" i="12"/>
  <c r="B135" i="12"/>
  <c r="I134" i="12"/>
  <c r="B134" i="12"/>
  <c r="A134" i="12"/>
  <c r="I133" i="12"/>
  <c r="B133" i="12"/>
  <c r="B132" i="12"/>
  <c r="A132" i="12"/>
  <c r="E123" i="12"/>
  <c r="E122" i="12"/>
  <c r="B124" i="12"/>
  <c r="B123" i="12"/>
  <c r="B122" i="12"/>
  <c r="J121" i="12"/>
  <c r="I121" i="12"/>
  <c r="B121" i="12"/>
  <c r="A121" i="12"/>
  <c r="J120" i="12"/>
  <c r="I120" i="12"/>
  <c r="B120" i="12"/>
  <c r="B119" i="12"/>
  <c r="A119" i="12"/>
  <c r="J111" i="12"/>
  <c r="J109" i="12"/>
  <c r="J107" i="12"/>
  <c r="J103" i="12"/>
  <c r="J98" i="12"/>
  <c r="F74" i="12"/>
  <c r="F69" i="12"/>
  <c r="A86" i="12"/>
  <c r="A83" i="12"/>
  <c r="A82" i="12"/>
  <c r="A81" i="12"/>
  <c r="A80" i="12"/>
  <c r="A79" i="12"/>
  <c r="A76" i="12"/>
  <c r="A75" i="12"/>
  <c r="A74" i="12"/>
  <c r="A73" i="12"/>
  <c r="A72" i="12"/>
  <c r="A71" i="12"/>
  <c r="A70" i="12"/>
  <c r="A69" i="12"/>
  <c r="A68" i="12"/>
  <c r="A67" i="12"/>
  <c r="A66" i="12"/>
  <c r="A65" i="12"/>
  <c r="A64" i="12"/>
  <c r="A63" i="12"/>
  <c r="A62" i="12"/>
  <c r="A59" i="12"/>
  <c r="A58" i="12"/>
  <c r="A57" i="12"/>
  <c r="A56" i="12"/>
  <c r="F95" i="12"/>
  <c r="F94" i="12"/>
  <c r="F93" i="12"/>
  <c r="F92" i="12"/>
  <c r="F91" i="12"/>
  <c r="F90" i="12"/>
  <c r="F89" i="12"/>
  <c r="F88" i="12"/>
  <c r="F87" i="12"/>
  <c r="F86" i="12"/>
  <c r="F83" i="12"/>
  <c r="F82" i="12"/>
  <c r="F81" i="12"/>
  <c r="F80" i="12"/>
  <c r="F79" i="12"/>
  <c r="F76" i="12"/>
  <c r="F73" i="12"/>
  <c r="F72" i="12"/>
  <c r="F71" i="12"/>
  <c r="F70" i="12"/>
  <c r="F68" i="12"/>
  <c r="F67" i="12"/>
  <c r="F66" i="12"/>
  <c r="F65" i="12"/>
  <c r="F64" i="12"/>
  <c r="F63" i="12"/>
  <c r="F62" i="12"/>
  <c r="F55" i="12"/>
  <c r="F54" i="12"/>
  <c r="G55" i="12"/>
  <c r="K174" i="12"/>
  <c r="K173" i="12"/>
  <c r="K172" i="12"/>
  <c r="K170" i="12"/>
  <c r="B227" i="12"/>
  <c r="I249" i="12"/>
  <c r="I248" i="12"/>
  <c r="J234" i="12"/>
  <c r="F234" i="12"/>
  <c r="J239" i="12"/>
  <c r="J238" i="12"/>
  <c r="J237" i="12"/>
  <c r="J236" i="12"/>
  <c r="J235" i="12"/>
  <c r="F239" i="12"/>
  <c r="F238" i="12"/>
  <c r="F237" i="12"/>
  <c r="F236" i="12"/>
  <c r="F235" i="12"/>
  <c r="B240" i="12"/>
  <c r="B239" i="12"/>
  <c r="B238" i="12"/>
  <c r="B237" i="12"/>
  <c r="B236" i="12"/>
  <c r="B235" i="12"/>
  <c r="G239" i="12"/>
  <c r="G238" i="12"/>
  <c r="G237" i="12"/>
  <c r="G236" i="12"/>
  <c r="G235" i="12"/>
  <c r="H230" i="12"/>
  <c r="B221" i="12"/>
  <c r="B220" i="12"/>
  <c r="B219" i="12"/>
  <c r="B218" i="12"/>
  <c r="B213" i="12"/>
  <c r="B212" i="12"/>
  <c r="K211" i="12"/>
  <c r="K209" i="12"/>
  <c r="K208" i="12"/>
  <c r="K207" i="12"/>
  <c r="C202" i="12"/>
  <c r="K200" i="12"/>
  <c r="K199" i="12"/>
  <c r="K198" i="12"/>
  <c r="K197" i="12"/>
  <c r="I177" i="12"/>
  <c r="I176" i="12"/>
  <c r="J174" i="12"/>
  <c r="J173" i="12"/>
  <c r="J172" i="12"/>
  <c r="J170" i="12"/>
  <c r="B151" i="12"/>
  <c r="A169" i="12"/>
  <c r="B169" i="12"/>
  <c r="B170" i="12"/>
  <c r="B171" i="12"/>
  <c r="B172" i="12"/>
  <c r="B173" i="12"/>
  <c r="B174" i="12"/>
  <c r="A175" i="12"/>
  <c r="B175" i="12"/>
  <c r="A176" i="12"/>
  <c r="B176" i="12"/>
  <c r="A177" i="12"/>
  <c r="B177" i="12"/>
  <c r="A193" i="12"/>
  <c r="B193" i="12"/>
  <c r="K193" i="12"/>
  <c r="K194" i="12"/>
  <c r="K195" i="12"/>
  <c r="C196" i="12"/>
  <c r="C197" i="12"/>
  <c r="C198" i="12"/>
  <c r="C199" i="12"/>
  <c r="C200" i="12"/>
  <c r="A204" i="12"/>
  <c r="B204" i="12"/>
  <c r="C207" i="12"/>
  <c r="C208" i="12"/>
  <c r="C209" i="12"/>
  <c r="C210" i="12"/>
  <c r="C211" i="12"/>
  <c r="C212" i="12"/>
  <c r="C213" i="12"/>
  <c r="A214" i="12"/>
  <c r="B214" i="12"/>
  <c r="B215" i="12"/>
  <c r="B216" i="12"/>
  <c r="B217" i="12"/>
  <c r="C218" i="12"/>
  <c r="C219" i="12"/>
  <c r="C220" i="12"/>
  <c r="C221" i="12"/>
  <c r="A223" i="12"/>
  <c r="B223" i="12"/>
  <c r="B224" i="12"/>
  <c r="B225" i="12"/>
  <c r="B226" i="12"/>
  <c r="B228" i="12"/>
  <c r="A229" i="12"/>
  <c r="B229" i="12"/>
  <c r="A231" i="12"/>
  <c r="B231" i="12"/>
  <c r="A232" i="12"/>
  <c r="B232" i="12"/>
  <c r="A233" i="12"/>
  <c r="B233" i="12"/>
  <c r="B234" i="12"/>
  <c r="C235" i="12"/>
  <c r="C236" i="12"/>
  <c r="C237" i="12"/>
  <c r="C238" i="12"/>
  <c r="C239" i="12"/>
  <c r="C240" i="12"/>
  <c r="A246" i="12"/>
  <c r="B246" i="12"/>
  <c r="A247" i="12"/>
  <c r="B247" i="12"/>
  <c r="A248" i="12"/>
  <c r="A249" i="12"/>
  <c r="B248" i="12"/>
  <c r="B249" i="12"/>
  <c r="I145" i="12"/>
  <c r="E131" i="12"/>
  <c r="D131" i="12"/>
  <c r="I130" i="12"/>
  <c r="E117" i="12"/>
  <c r="E116" i="12"/>
  <c r="E114" i="12"/>
  <c r="E113" i="12"/>
  <c r="E111" i="12"/>
  <c r="E109" i="12"/>
  <c r="I150" i="12"/>
  <c r="I148" i="12"/>
  <c r="I147" i="12"/>
  <c r="I144" i="12"/>
  <c r="I141" i="12"/>
  <c r="I140" i="12"/>
  <c r="I139" i="12"/>
  <c r="I128" i="12"/>
  <c r="I127" i="12"/>
  <c r="I115" i="12"/>
  <c r="I112" i="12"/>
  <c r="I111" i="12"/>
  <c r="I109" i="12"/>
  <c r="I107" i="12"/>
  <c r="I103" i="12"/>
  <c r="I98" i="12"/>
  <c r="E106" i="12"/>
  <c r="E105" i="12"/>
  <c r="E104" i="12"/>
  <c r="B97" i="12"/>
  <c r="A98" i="12"/>
  <c r="B98" i="12"/>
  <c r="B99" i="12"/>
  <c r="B100" i="12"/>
  <c r="B101" i="12"/>
  <c r="B102" i="12"/>
  <c r="A103" i="12"/>
  <c r="B103" i="12"/>
  <c r="B104" i="12"/>
  <c r="B105" i="12"/>
  <c r="B106" i="12"/>
  <c r="A107" i="12"/>
  <c r="B107" i="12"/>
  <c r="A108" i="12"/>
  <c r="B108" i="12"/>
  <c r="B109" i="12"/>
  <c r="A110" i="12"/>
  <c r="B110" i="12"/>
  <c r="B111" i="12"/>
  <c r="A112" i="12"/>
  <c r="B112" i="12"/>
  <c r="B113" i="12"/>
  <c r="B114" i="12"/>
  <c r="A115" i="12"/>
  <c r="B115" i="12"/>
  <c r="B116" i="12"/>
  <c r="B117" i="12"/>
  <c r="A125" i="12"/>
  <c r="A126" i="12"/>
  <c r="B126" i="12"/>
  <c r="B127" i="12"/>
  <c r="A128" i="12"/>
  <c r="B128" i="12"/>
  <c r="B129" i="12"/>
  <c r="B130" i="12"/>
  <c r="B131" i="12"/>
  <c r="A138" i="12"/>
  <c r="B138" i="12"/>
  <c r="B139" i="12"/>
  <c r="B140" i="12"/>
  <c r="B141" i="12"/>
  <c r="A142" i="12"/>
  <c r="B142" i="12"/>
  <c r="B143" i="12"/>
  <c r="B144" i="12"/>
  <c r="A145" i="12"/>
  <c r="B145" i="12"/>
  <c r="A146" i="12"/>
  <c r="B146" i="12"/>
  <c r="B147" i="12"/>
  <c r="B148" i="12"/>
  <c r="B150" i="12"/>
  <c r="H82" i="12"/>
  <c r="B95" i="12"/>
  <c r="B94" i="12"/>
  <c r="B93" i="12"/>
  <c r="B92" i="12"/>
  <c r="B91" i="12"/>
  <c r="B90" i="12"/>
  <c r="B89" i="12"/>
  <c r="B88" i="12"/>
  <c r="B87" i="12"/>
  <c r="B86" i="12"/>
  <c r="B83" i="12"/>
  <c r="B82" i="12"/>
  <c r="B81" i="12"/>
  <c r="B80" i="12"/>
  <c r="B79" i="12"/>
  <c r="B76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59" i="12"/>
  <c r="B58" i="12"/>
  <c r="B57" i="12"/>
  <c r="B56" i="12"/>
  <c r="B47" i="12"/>
  <c r="B52" i="12"/>
  <c r="B55" i="12"/>
  <c r="B45" i="12"/>
  <c r="B44" i="12"/>
  <c r="B43" i="12"/>
  <c r="B42" i="12"/>
  <c r="B41" i="12"/>
  <c r="B40" i="12"/>
  <c r="B39" i="12"/>
  <c r="A39" i="12"/>
  <c r="J38" i="12"/>
  <c r="B14" i="12"/>
  <c r="D30" i="12"/>
  <c r="D29" i="12"/>
  <c r="D26" i="12"/>
  <c r="D25" i="12"/>
  <c r="D24" i="12"/>
  <c r="D22" i="12"/>
  <c r="D23" i="12"/>
  <c r="B32" i="12"/>
  <c r="A34" i="12"/>
  <c r="B34" i="12"/>
  <c r="A36" i="12"/>
  <c r="B36" i="12"/>
  <c r="H36" i="12"/>
  <c r="A38" i="12"/>
  <c r="B38" i="12"/>
  <c r="F4" i="12"/>
  <c r="F5" i="12"/>
  <c r="F7" i="12"/>
  <c r="F8" i="12"/>
  <c r="B9" i="12"/>
  <c r="B11" i="12"/>
  <c r="B13" i="12"/>
  <c r="B18" i="12"/>
  <c r="B22" i="12"/>
  <c r="B23" i="12"/>
  <c r="B24" i="12"/>
  <c r="B26" i="12"/>
  <c r="B29" i="12"/>
  <c r="B30" i="12"/>
  <c r="I2" i="12"/>
  <c r="H3" i="12"/>
  <c r="B123" i="21"/>
  <c r="B263" i="21"/>
  <c r="B214" i="21"/>
  <c r="B217" i="21"/>
  <c r="B419" i="21"/>
  <c r="B425" i="21"/>
  <c r="B250" i="21"/>
  <c r="B58" i="21"/>
  <c r="B61" i="21"/>
  <c r="B139" i="21"/>
  <c r="B266" i="21"/>
  <c r="B269" i="21"/>
  <c r="B438" i="21"/>
  <c r="B224" i="21"/>
  <c r="B243" i="21"/>
  <c r="B120" i="21"/>
  <c r="B133" i="21"/>
  <c r="B347" i="21"/>
  <c r="B445" i="21"/>
  <c r="B201" i="21"/>
  <c r="B159" i="21"/>
  <c r="B448" i="21"/>
  <c r="B175" i="21"/>
  <c r="B406" i="21"/>
  <c r="B45" i="21"/>
  <c r="B461" i="21"/>
  <c r="B289" i="21"/>
  <c r="B396" i="21"/>
  <c r="B354" i="21"/>
  <c r="B292" i="21"/>
  <c r="B172" i="21"/>
  <c r="B342" i="21"/>
  <c r="B315" i="21"/>
  <c r="B198" i="21"/>
  <c r="B162" i="21"/>
  <c r="B48" i="21"/>
  <c r="B399" i="21"/>
  <c r="B101" i="21"/>
  <c r="B361" i="21"/>
  <c r="B241" i="21"/>
  <c r="B29" i="21"/>
  <c r="B147" i="21"/>
  <c r="B329" i="21"/>
  <c r="B357" i="21"/>
  <c r="B394" i="21"/>
  <c r="B435" i="21"/>
  <c r="B192" i="21"/>
  <c r="B451" i="21"/>
  <c r="B383" i="21" l="1"/>
  <c r="B185" i="21"/>
  <c r="B212" i="21"/>
  <c r="B238" i="21"/>
  <c r="B319" i="21"/>
  <c r="B126" i="21"/>
  <c r="B302" i="21"/>
  <c r="B150" i="21"/>
  <c r="B458" i="21"/>
  <c r="B464" i="21"/>
  <c r="B166" i="21"/>
  <c r="B381" i="21"/>
  <c r="B331" i="21"/>
  <c r="B280" i="21"/>
  <c r="B136" i="21"/>
  <c r="B367" i="21"/>
  <c r="I43" i="12"/>
  <c r="B227" i="21"/>
  <c r="B433" i="21"/>
  <c r="B422" i="21"/>
  <c r="B94" i="21"/>
  <c r="B321" i="21"/>
  <c r="B374" i="21"/>
  <c r="B74" i="21"/>
  <c r="B230" i="21"/>
  <c r="B71" i="21"/>
  <c r="B152" i="21"/>
  <c r="B370" i="21"/>
  <c r="B204" i="21"/>
  <c r="I44" i="12"/>
  <c r="B188" i="21"/>
  <c r="B386" i="21"/>
  <c r="I45" i="12"/>
  <c r="B256" i="21"/>
  <c r="B32" i="21"/>
  <c r="B253" i="21"/>
  <c r="B178" i="21"/>
  <c r="B35" i="21"/>
  <c r="B409" i="21"/>
  <c r="B107" i="21"/>
  <c r="B88" i="21"/>
  <c r="B345" i="21"/>
  <c r="B114" i="21"/>
  <c r="B335" i="21"/>
  <c r="B283" i="21"/>
  <c r="B412" i="21"/>
  <c r="B305" i="21"/>
  <c r="B42" i="21"/>
  <c r="B56" i="21"/>
  <c r="B84" i="21"/>
  <c r="B110" i="21"/>
  <c r="B81" i="21"/>
  <c r="B69" i="21"/>
  <c r="B295" i="21"/>
  <c r="B308" i="21"/>
  <c r="B276" i="21"/>
</calcChain>
</file>

<file path=xl/sharedStrings.xml><?xml version="1.0" encoding="utf-8"?>
<sst xmlns="http://schemas.openxmlformats.org/spreadsheetml/2006/main" count="1042" uniqueCount="862">
  <si>
    <t xml:space="preserve">Number of family members needed to meet the family deductible coverage </t>
  </si>
  <si>
    <r>
      <t xml:space="preserve">Defined Benefit Plan </t>
    </r>
    <r>
      <rPr>
        <sz val="10"/>
        <rFont val="Arial Narrow"/>
        <family val="2"/>
      </rPr>
      <t>(pension plan, involving a fixed level of benefits upon retirement)</t>
    </r>
  </si>
  <si>
    <t>Does the company contribute to the employee’s 401(k) )?</t>
  </si>
  <si>
    <t>If contributions are limited to a percentage (%) of an employee’s pay, what is the limit?</t>
  </si>
  <si>
    <t>If employer matches 401(k), what $ amount is contributed for each $1 the employee contributes?</t>
  </si>
  <si>
    <r>
      <t>Do you have a Personal Time Off (PTO) program?</t>
    </r>
    <r>
      <rPr>
        <sz val="10"/>
        <rFont val="Arial Narrow"/>
        <family val="2"/>
      </rPr>
      <t>(combine vacation, sick, personal leave)</t>
    </r>
  </si>
  <si>
    <r>
      <t xml:space="preserve">1 week   paid time off </t>
    </r>
    <r>
      <rPr>
        <b/>
        <sz val="10"/>
        <rFont val="Arial"/>
        <family val="2"/>
      </rPr>
      <t xml:space="preserve">after </t>
    </r>
    <r>
      <rPr>
        <sz val="10"/>
        <rFont val="Arial"/>
        <family val="2"/>
      </rPr>
      <t>how many years of service?</t>
    </r>
  </si>
  <si>
    <r>
      <t xml:space="preserve">2 weeks paid time off </t>
    </r>
    <r>
      <rPr>
        <b/>
        <sz val="10"/>
        <rFont val="Arial"/>
        <family val="2"/>
      </rPr>
      <t xml:space="preserve">after </t>
    </r>
    <r>
      <rPr>
        <sz val="10"/>
        <rFont val="Arial"/>
        <family val="2"/>
      </rPr>
      <t>how many years of service?</t>
    </r>
  </si>
  <si>
    <r>
      <t xml:space="preserve">3 weeks paid time off </t>
    </r>
    <r>
      <rPr>
        <b/>
        <sz val="10"/>
        <rFont val="Arial"/>
        <family val="2"/>
      </rPr>
      <t xml:space="preserve">after </t>
    </r>
    <r>
      <rPr>
        <sz val="10"/>
        <rFont val="Arial"/>
        <family val="2"/>
      </rPr>
      <t>how many years of service?</t>
    </r>
  </si>
  <si>
    <r>
      <t xml:space="preserve">4 weeks paid time off </t>
    </r>
    <r>
      <rPr>
        <b/>
        <sz val="10"/>
        <rFont val="Arial"/>
        <family val="2"/>
      </rPr>
      <t xml:space="preserve">after </t>
    </r>
    <r>
      <rPr>
        <sz val="10"/>
        <rFont val="Arial"/>
        <family val="2"/>
      </rPr>
      <t>how many years of service?</t>
    </r>
  </si>
  <si>
    <r>
      <t xml:space="preserve">5 weeks paid time off </t>
    </r>
    <r>
      <rPr>
        <b/>
        <sz val="10"/>
        <rFont val="Arial"/>
        <family val="2"/>
      </rPr>
      <t xml:space="preserve">after </t>
    </r>
    <r>
      <rPr>
        <sz val="10"/>
        <rFont val="Arial"/>
        <family val="2"/>
      </rPr>
      <t>how many years of service?</t>
    </r>
  </si>
  <si>
    <t>Name/Title</t>
  </si>
  <si>
    <t>Company</t>
  </si>
  <si>
    <t>Telephone</t>
  </si>
  <si>
    <t>General Information</t>
  </si>
  <si>
    <t>1.</t>
  </si>
  <si>
    <t>2.</t>
  </si>
  <si>
    <t>3.</t>
  </si>
  <si>
    <t>4.</t>
  </si>
  <si>
    <t>5.</t>
  </si>
  <si>
    <t>6.</t>
  </si>
  <si>
    <t>%</t>
  </si>
  <si>
    <t>y</t>
  </si>
  <si>
    <t>Y</t>
  </si>
  <si>
    <t>YesNoList</t>
  </si>
  <si>
    <t>N</t>
  </si>
  <si>
    <t xml:space="preserve"> </t>
  </si>
  <si>
    <t>Email Address</t>
  </si>
  <si>
    <t>Survey Deadline</t>
  </si>
  <si>
    <t>Street Address</t>
  </si>
  <si>
    <t>Participant data will be aggregated in a way that prevents identification of any individual company.</t>
  </si>
  <si>
    <t>Your data will be treated confidentially by Mackay Research Group.</t>
  </si>
  <si>
    <t>$</t>
  </si>
  <si>
    <t>please forward this to their attention.</t>
  </si>
  <si>
    <r>
      <t>Please note:</t>
    </r>
    <r>
      <rPr>
        <sz val="10"/>
        <rFont val="Arial"/>
        <family val="2"/>
      </rPr>
      <t xml:space="preserve"> If this important survey has not reached the person responsible for this information,</t>
    </r>
  </si>
  <si>
    <t>Employee Turnover</t>
  </si>
  <si>
    <t>Report Full-Time Equivalents (FTE), Part-time employees should be converted to full-time</t>
  </si>
  <si>
    <t>equivalents based on a 40-hour week.</t>
  </si>
  <si>
    <t>Total employees at beginning of year (FTE)</t>
  </si>
  <si>
    <t>+ number of employees hired during the year</t>
  </si>
  <si>
    <t>– number of employees who have left during the year</t>
  </si>
  <si>
    <t>Out of range</t>
  </si>
  <si>
    <t>Annual</t>
  </si>
  <si>
    <t>Plant Wages</t>
  </si>
  <si>
    <t>Apprentice (First Year)</t>
  </si>
  <si>
    <t>Apprentice (Second Year)</t>
  </si>
  <si>
    <t>Apprentice (Third Year)</t>
  </si>
  <si>
    <t>Apprentice (Fourth Year)</t>
  </si>
  <si>
    <t>13.</t>
  </si>
  <si>
    <t>14.</t>
  </si>
  <si>
    <t>15.</t>
  </si>
  <si>
    <t>16.</t>
  </si>
  <si>
    <t>17.</t>
  </si>
  <si>
    <t>18.</t>
  </si>
  <si>
    <t>19.</t>
  </si>
  <si>
    <t>21.</t>
  </si>
  <si>
    <t>Enter 0, 1 or 2</t>
  </si>
  <si>
    <t>Enter Y or N</t>
  </si>
  <si>
    <t>Enter 1-4</t>
  </si>
  <si>
    <t>Employee Benefit Programs</t>
  </si>
  <si>
    <t>Do you provide a “Cafeteria Plan” or flexible benefit  program (“Section 125”) that</t>
  </si>
  <si>
    <t>allows employees to select different levels of different benefits?</t>
  </si>
  <si>
    <t>25.</t>
  </si>
  <si>
    <t>Medical/Hospitalization Plans Offered</t>
  </si>
  <si>
    <t>Indicate</t>
  </si>
  <si>
    <t>Co-Pay</t>
  </si>
  <si>
    <t>If Offered</t>
  </si>
  <si>
    <t>Employer</t>
  </si>
  <si>
    <t>Deductible</t>
  </si>
  <si>
    <t>Amount</t>
  </si>
  <si>
    <t>(Per Person)</t>
  </si>
  <si>
    <t>Traditional (Indemnity health insurance)</t>
  </si>
  <si>
    <t>Health Maintenance Organization (HMO)</t>
  </si>
  <si>
    <t>Point Of Service HMO (POS)</t>
  </si>
  <si>
    <t>Preferred Provider Organization (PPO)</t>
  </si>
  <si>
    <t>Exclusive Provider Organization (EPO)</t>
  </si>
  <si>
    <t>(Y/N)</t>
  </si>
  <si>
    <t>a.</t>
  </si>
  <si>
    <t>b.</t>
  </si>
  <si>
    <t>Single rate</t>
  </si>
  <si>
    <t>Single plus one rate</t>
  </si>
  <si>
    <t>Employee + spouse</t>
  </si>
  <si>
    <t>Employee + child</t>
  </si>
  <si>
    <t>Family rate</t>
  </si>
  <si>
    <t>c.</t>
  </si>
  <si>
    <t>d.</t>
  </si>
  <si>
    <t>e.</t>
  </si>
  <si>
    <t>Vision/Optical Plan</t>
  </si>
  <si>
    <t>Group Term Life Insurance</t>
  </si>
  <si>
    <t>Long-term Disability Insurance</t>
  </si>
  <si>
    <t>Short-term Disability Insurance</t>
  </si>
  <si>
    <t>Employee Assistance Program*</t>
  </si>
  <si>
    <t>*program to handle personal &amp; work related problems, i.e., drug dependency, mental health, financial, legal, etc.</t>
  </si>
  <si>
    <r>
      <t xml:space="preserve">Retiree Medical Insurance Coverage </t>
    </r>
    <r>
      <rPr>
        <sz val="8"/>
        <rFont val="Arial"/>
        <family val="2"/>
      </rPr>
      <t>(under FASB 106)</t>
    </r>
  </si>
  <si>
    <t>Retirement Income Plans</t>
  </si>
  <si>
    <t>SEP-IRA/SIMPLE IRA</t>
  </si>
  <si>
    <t>Profit Sharing Plan (fluctuating employer contribution)</t>
  </si>
  <si>
    <t>Money Purchase Plan (fixed employer contribution)</t>
  </si>
  <si>
    <t xml:space="preserve">401(k) (with or without employer match) </t>
  </si>
  <si>
    <r>
      <t>Other Employee Benefits</t>
    </r>
    <r>
      <rPr>
        <sz val="10"/>
        <rFont val="Arial"/>
        <family val="2"/>
      </rPr>
      <t xml:space="preserve"> </t>
    </r>
  </si>
  <si>
    <t>Pre-tax spending accounts for medical or dental expenses</t>
  </si>
  <si>
    <t>Pre-tax spending accounts for dependent care expenses</t>
  </si>
  <si>
    <t>Educational assistance for employees</t>
  </si>
  <si>
    <t>Pre-retirement counseling</t>
  </si>
  <si>
    <t>Annual computerized benefits statement</t>
  </si>
  <si>
    <t>Child care (allowance or facilities)</t>
  </si>
  <si>
    <t>Paid parental leave (maternity/paternity, adoption leave)</t>
  </si>
  <si>
    <t>What, if anything, does your company give to its full-time employees at Christmas or year-end?</t>
  </si>
  <si>
    <t>Party</t>
  </si>
  <si>
    <t>Cash (nominal amount, not annual bonus)</t>
  </si>
  <si>
    <t>Gift (including gift certificates, food items, etc.)</t>
  </si>
  <si>
    <t>Year-end Bonus (not tied to profits)</t>
  </si>
  <si>
    <t>31.</t>
  </si>
  <si>
    <t>32.</t>
  </si>
  <si>
    <r>
      <t xml:space="preserve">May employees </t>
    </r>
    <r>
      <rPr>
        <b/>
        <sz val="10"/>
        <rFont val="Arial"/>
        <family val="2"/>
      </rPr>
      <t xml:space="preserve">carry over paid time off </t>
    </r>
    <r>
      <rPr>
        <sz val="10"/>
        <rFont val="Arial"/>
        <family val="2"/>
      </rPr>
      <t>(vacation)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into the following year(s)? </t>
    </r>
  </si>
  <si>
    <t>0=No, 1=Yes, 2=Yes but management approval required</t>
  </si>
  <si>
    <t>35.</t>
  </si>
  <si>
    <t>New Year's Eve</t>
  </si>
  <si>
    <t>New Year's Day</t>
  </si>
  <si>
    <t>Martin Luther King's Birthday</t>
  </si>
  <si>
    <t>President’s Day</t>
  </si>
  <si>
    <t>Good Friday</t>
  </si>
  <si>
    <t>Memorial Day</t>
  </si>
  <si>
    <t>Day after Thanksgiving</t>
  </si>
  <si>
    <t>Labor Day</t>
  </si>
  <si>
    <t>Veteran's Day</t>
  </si>
  <si>
    <t>Thanksgiving Day</t>
  </si>
  <si>
    <t xml:space="preserve">If yes, how many sick days or personal days are allowed each year? </t>
  </si>
  <si>
    <t>Does your company have an employee policy manual?</t>
  </si>
  <si>
    <t>Are hourly production employees represented by a union?</t>
  </si>
  <si>
    <t>#</t>
  </si>
  <si>
    <t>7.</t>
  </si>
  <si>
    <t>8.</t>
  </si>
  <si>
    <t>9.</t>
  </si>
  <si>
    <t>10.</t>
  </si>
  <si>
    <t>11.</t>
  </si>
  <si>
    <t>12.</t>
  </si>
  <si>
    <t>Please return this questionnaire to:</t>
  </si>
  <si>
    <t>Employees</t>
  </si>
  <si>
    <t>Budgeted increase in hourly wages for this year</t>
  </si>
  <si>
    <t>= Total employees at the end of year (FTE)</t>
  </si>
  <si>
    <t>Branded</t>
  </si>
  <si>
    <t>Generic</t>
  </si>
  <si>
    <t>Thank you for participating!</t>
  </si>
  <si>
    <t>NTMA Wage &amp; Fringe Benefit Survey</t>
  </si>
  <si>
    <t>No one from NTMA or its staff will have access to individual company data.</t>
  </si>
  <si>
    <t>Deburring Specialist</t>
  </si>
  <si>
    <t>f.</t>
  </si>
  <si>
    <t>g.</t>
  </si>
  <si>
    <t>h.</t>
  </si>
  <si>
    <t>i.</t>
  </si>
  <si>
    <t>j.</t>
  </si>
  <si>
    <t>k.</t>
  </si>
  <si>
    <t>l.</t>
  </si>
  <si>
    <t>m.</t>
  </si>
  <si>
    <t>n.</t>
  </si>
  <si>
    <t>o.</t>
  </si>
  <si>
    <t>p.</t>
  </si>
  <si>
    <t>q.</t>
  </si>
  <si>
    <t>r.</t>
  </si>
  <si>
    <t>s.</t>
  </si>
  <si>
    <t>u.</t>
  </si>
  <si>
    <t>v.</t>
  </si>
  <si>
    <t>w.</t>
  </si>
  <si>
    <t>x.</t>
  </si>
  <si>
    <t>y.</t>
  </si>
  <si>
    <t>z.</t>
  </si>
  <si>
    <t>aa.</t>
  </si>
  <si>
    <t>bb.</t>
  </si>
  <si>
    <t>cc.</t>
  </si>
  <si>
    <t>dd.</t>
  </si>
  <si>
    <t>ee.</t>
  </si>
  <si>
    <t>ff.</t>
  </si>
  <si>
    <t>gg.</t>
  </si>
  <si>
    <t>hh.</t>
  </si>
  <si>
    <t>Inspector (CMM Operator)</t>
  </si>
  <si>
    <t>Machine Repair &amp; Maintenance</t>
  </si>
  <si>
    <t>Moldmaker/Die Cast Diemaker</t>
  </si>
  <si>
    <t>Machinist, All Around (Journeyman)</t>
  </si>
  <si>
    <t>Polisher (Molds)</t>
  </si>
  <si>
    <t>Shipping/Receiving Clerk</t>
  </si>
  <si>
    <t>Supervisor/Foreman</t>
  </si>
  <si>
    <t>Toolmaker (Jigs, Fixtures, Gages)</t>
  </si>
  <si>
    <t>Performance Appraisal</t>
  </si>
  <si>
    <t>No policy</t>
  </si>
  <si>
    <t>Vacation Policy – Employees are eligible for</t>
  </si>
  <si>
    <t>36.</t>
  </si>
  <si>
    <t xml:space="preserve">To be eligible for holiday pay, an hourly employee must work </t>
  </si>
  <si>
    <t>1= Both the day before and the day after the holiday</t>
  </si>
  <si>
    <t xml:space="preserve">2= Either the day before or the day after </t>
  </si>
  <si>
    <t>3= Neither the day before nor the day after, regardless of number of hours worked during the week</t>
  </si>
  <si>
    <t>4= No established policy</t>
  </si>
  <si>
    <t>Both</t>
  </si>
  <si>
    <t>Either</t>
  </si>
  <si>
    <t>Neither</t>
  </si>
  <si>
    <t>Manufacturing Support Functions</t>
  </si>
  <si>
    <t>Do you offer sick/personal days with pay for production employees?</t>
  </si>
  <si>
    <t>Please specify who is to receive your copy of the Wage &amp; Fringe Benefit Report:</t>
  </si>
  <si>
    <t>Number of</t>
  </si>
  <si>
    <t>(Per Office Visit)</t>
  </si>
  <si>
    <t>Press the Print Icon on the Tool Bar to print a copy of the questionnaire</t>
  </si>
  <si>
    <t>% of Premium</t>
  </si>
  <si>
    <t>Paid by</t>
  </si>
  <si>
    <t>Which holidays do you observe? (Holidays your company is closed for business, paid or unpaid)</t>
  </si>
  <si>
    <t>Only items in boxes can be entered.  All other items are calculated automatically.</t>
  </si>
  <si>
    <r>
      <t xml:space="preserve">The </t>
    </r>
    <r>
      <rPr>
        <b/>
        <sz val="10"/>
        <rFont val="Arial"/>
        <family val="2"/>
      </rPr>
      <t>"Print" tab</t>
    </r>
    <r>
      <rPr>
        <sz val="10"/>
        <rFont val="Arial"/>
        <family val="2"/>
      </rPr>
      <t xml:space="preserve"> at the end allows you to print your entries for the entire questionnaire.</t>
    </r>
  </si>
  <si>
    <t>surveys@mackayresearchgroup.com</t>
  </si>
  <si>
    <t>Please continue to the next tab</t>
  </si>
  <si>
    <t>This survey covers plant wages in the precision custom manufacturing industry.</t>
  </si>
  <si>
    <t>High Deductible Health Plan(HDHP) or HSA</t>
  </si>
  <si>
    <r>
      <t>Annual sales volume</t>
    </r>
    <r>
      <rPr>
        <sz val="10"/>
        <rFont val="Arial"/>
        <family val="2"/>
      </rPr>
      <t xml:space="preserve"> </t>
    </r>
  </si>
  <si>
    <t>State</t>
  </si>
  <si>
    <t>ZIP code</t>
  </si>
  <si>
    <t>City</t>
  </si>
  <si>
    <t>NTMA</t>
  </si>
  <si>
    <t>YR</t>
  </si>
  <si>
    <t>ID</t>
  </si>
  <si>
    <t>NAME</t>
  </si>
  <si>
    <t>ZIPCODE</t>
  </si>
  <si>
    <t>TOOL</t>
  </si>
  <si>
    <t>MOLD</t>
  </si>
  <si>
    <t>GENL</t>
  </si>
  <si>
    <t>AERO</t>
  </si>
  <si>
    <t>SPEC</t>
  </si>
  <si>
    <t>PROD</t>
  </si>
  <si>
    <t>SHEET</t>
  </si>
  <si>
    <t>OCLASS</t>
  </si>
  <si>
    <t>NS</t>
  </si>
  <si>
    <t>BUDGET</t>
  </si>
  <si>
    <t>BEGEMP</t>
  </si>
  <si>
    <t>HIRE</t>
  </si>
  <si>
    <t>LEFT</t>
  </si>
  <si>
    <t>ENDEMP</t>
  </si>
  <si>
    <t>NFIRST</t>
  </si>
  <si>
    <t>NTHIRD</t>
  </si>
  <si>
    <t>NFOURTH</t>
  </si>
  <si>
    <t>NDIE</t>
  </si>
  <si>
    <t>NEDM</t>
  </si>
  <si>
    <t>NENG</t>
  </si>
  <si>
    <t>NALL</t>
  </si>
  <si>
    <t>NMOLD</t>
  </si>
  <si>
    <t>NPOL</t>
  </si>
  <si>
    <t>NTOOL</t>
  </si>
  <si>
    <t>NPROG</t>
  </si>
  <si>
    <t>NASSM</t>
  </si>
  <si>
    <t>NDEBUR</t>
  </si>
  <si>
    <t>NINSP</t>
  </si>
  <si>
    <t>NMAIN</t>
  </si>
  <si>
    <t>NSHIP</t>
  </si>
  <si>
    <t>NSUPR</t>
  </si>
  <si>
    <t>NWELD</t>
  </si>
  <si>
    <t>CAF</t>
  </si>
  <si>
    <t>HSACONT</t>
  </si>
  <si>
    <t>SINGLE</t>
  </si>
  <si>
    <t>SPOUSE</t>
  </si>
  <si>
    <t>EMPCHILD</t>
  </si>
  <si>
    <t>FAMILY</t>
  </si>
  <si>
    <t>NUM</t>
  </si>
  <si>
    <t>DEP</t>
  </si>
  <si>
    <t>CARD</t>
  </si>
  <si>
    <t>DENTAL</t>
  </si>
  <si>
    <t>EYE</t>
  </si>
  <si>
    <t>LIFE</t>
  </si>
  <si>
    <t>LTD</t>
  </si>
  <si>
    <t>STD</t>
  </si>
  <si>
    <t>EAP</t>
  </si>
  <si>
    <t>EDEP</t>
  </si>
  <si>
    <t>ECARD</t>
  </si>
  <si>
    <t>EDENT</t>
  </si>
  <si>
    <t>EEYE</t>
  </si>
  <si>
    <t>ELIFE</t>
  </si>
  <si>
    <t>ELTD</t>
  </si>
  <si>
    <t>ESTD</t>
  </si>
  <si>
    <t>EEAP</t>
  </si>
  <si>
    <t>DDEP</t>
  </si>
  <si>
    <t>DCARD</t>
  </si>
  <si>
    <t>DDENT</t>
  </si>
  <si>
    <t>DEYE</t>
  </si>
  <si>
    <t>DEPCO</t>
  </si>
  <si>
    <t>CARDCO</t>
  </si>
  <si>
    <t>GENCO</t>
  </si>
  <si>
    <t>DENTCO</t>
  </si>
  <si>
    <t>EYECO</t>
  </si>
  <si>
    <t>DEFINED</t>
  </si>
  <si>
    <t>SEP</t>
  </si>
  <si>
    <t>SHARING</t>
  </si>
  <si>
    <t>MONEY</t>
  </si>
  <si>
    <t>K401DOL</t>
  </si>
  <si>
    <t>K401PCT</t>
  </si>
  <si>
    <t>PREMED</t>
  </si>
  <si>
    <t>PRECARE</t>
  </si>
  <si>
    <t>ED</t>
  </si>
  <si>
    <t>CSL</t>
  </si>
  <si>
    <t>CTR</t>
  </si>
  <si>
    <t>COMB</t>
  </si>
  <si>
    <t>WK1</t>
  </si>
  <si>
    <t>WK2</t>
  </si>
  <si>
    <t>WK3</t>
  </si>
  <si>
    <t>WK4</t>
  </si>
  <si>
    <t>WK5</t>
  </si>
  <si>
    <t>WK4A</t>
  </si>
  <si>
    <t>WK5A</t>
  </si>
  <si>
    <t>VAC</t>
  </si>
  <si>
    <t>ACCUM</t>
  </si>
  <si>
    <t>HOL</t>
  </si>
  <si>
    <t>SICK</t>
  </si>
  <si>
    <t>SDAYS</t>
  </si>
  <si>
    <r>
      <t>4</t>
    </r>
    <r>
      <rPr>
        <vertAlign val="superscript"/>
        <sz val="10"/>
        <rFont val="Arial"/>
        <family val="2"/>
      </rPr>
      <t>th</t>
    </r>
    <r>
      <rPr>
        <sz val="10"/>
        <rFont val="Arial"/>
        <family val="2"/>
      </rPr>
      <t xml:space="preserve"> of July/Independence Day</t>
    </r>
  </si>
  <si>
    <t>Saw Operator</t>
  </si>
  <si>
    <t>NSAW</t>
  </si>
  <si>
    <t>please use their hourly rate as the lowest, highest and average wage rate.</t>
  </si>
  <si>
    <t>Average</t>
  </si>
  <si>
    <t>Lowest actual 1st shift straight time hourly wage being paid.</t>
  </si>
  <si>
    <t>Highest actual 1st shift straight time hourly wage being paid.</t>
  </si>
  <si>
    <t>Average—</t>
  </si>
  <si>
    <t>divided by the total number of employees in this classification.</t>
  </si>
  <si>
    <t>The total actual 1st shift straight time hourly wage of all employees in a classification</t>
  </si>
  <si>
    <t>Lowest——</t>
  </si>
  <si>
    <t>Highest——</t>
  </si>
  <si>
    <t>LFIRST</t>
  </si>
  <si>
    <t>HFIRST</t>
  </si>
  <si>
    <t>AFIRST</t>
  </si>
  <si>
    <t>LSECOND</t>
  </si>
  <si>
    <t>HSECOND</t>
  </si>
  <si>
    <t>ASECOND</t>
  </si>
  <si>
    <t>LTHIRD</t>
  </si>
  <si>
    <t>HTHIRD</t>
  </si>
  <si>
    <t>ATHIRD</t>
  </si>
  <si>
    <t>ADIE</t>
  </si>
  <si>
    <t>AEDM</t>
  </si>
  <si>
    <t>AENG</t>
  </si>
  <si>
    <t>AALL</t>
  </si>
  <si>
    <t>AMOLD</t>
  </si>
  <si>
    <t>APOL</t>
  </si>
  <si>
    <t>ASAW</t>
  </si>
  <si>
    <t>ATOOL</t>
  </si>
  <si>
    <t>APROG</t>
  </si>
  <si>
    <t>AASSM</t>
  </si>
  <si>
    <t>ADEBUR</t>
  </si>
  <si>
    <t>AINSP</t>
  </si>
  <si>
    <t>AMAIN</t>
  </si>
  <si>
    <t>ASHIP</t>
  </si>
  <si>
    <t>ASUPR</t>
  </si>
  <si>
    <t>AWELD</t>
  </si>
  <si>
    <t>LFOURTH</t>
  </si>
  <si>
    <t>HFOURTH</t>
  </si>
  <si>
    <t>AFOURTH</t>
  </si>
  <si>
    <t>NSECOND</t>
  </si>
  <si>
    <t>K401K</t>
  </si>
  <si>
    <t>Purchasing Agent</t>
  </si>
  <si>
    <t>NPUR</t>
  </si>
  <si>
    <t>APUR</t>
  </si>
  <si>
    <t>COMPANY</t>
  </si>
  <si>
    <t>ADDR1</t>
  </si>
  <si>
    <t>ADDR2</t>
  </si>
  <si>
    <t>CITY</t>
  </si>
  <si>
    <t>STATE</t>
  </si>
  <si>
    <t>PHONE</t>
  </si>
  <si>
    <t>EMAIL</t>
  </si>
  <si>
    <t>estimate.  It is better to make an educated guess than to leave a field blank.</t>
  </si>
  <si>
    <t>Apprentice</t>
  </si>
  <si>
    <t>MED</t>
  </si>
  <si>
    <t>EMED</t>
  </si>
  <si>
    <t>DMED</t>
  </si>
  <si>
    <t>MEDCO</t>
  </si>
  <si>
    <r>
      <t xml:space="preserve">Do you offer a High Deductible Health Plan </t>
    </r>
    <r>
      <rPr>
        <sz val="9"/>
        <rFont val="Arial"/>
        <family val="2"/>
      </rPr>
      <t>(HDHP)</t>
    </r>
    <r>
      <rPr>
        <sz val="10"/>
        <rFont val="Arial"/>
        <family val="2"/>
      </rPr>
      <t xml:space="preserve"> or Health Saving Account </t>
    </r>
    <r>
      <rPr>
        <sz val="9"/>
        <rFont val="Arial"/>
        <family val="2"/>
      </rPr>
      <t>(HSA)</t>
    </r>
    <r>
      <rPr>
        <sz val="10"/>
        <rFont val="Arial"/>
        <family val="2"/>
      </rPr>
      <t>?</t>
    </r>
  </si>
  <si>
    <t>Indicate If Offered</t>
  </si>
  <si>
    <t>Paid by Employer</t>
  </si>
  <si>
    <t>Annual Deductible</t>
  </si>
  <si>
    <t>Co-Pay Amount</t>
  </si>
  <si>
    <t>n</t>
  </si>
  <si>
    <t>Machining Operations</t>
  </si>
  <si>
    <t>Machinist, All Around (CNC)</t>
  </si>
  <si>
    <t>Horizontal Machining Center</t>
  </si>
  <si>
    <t>Vertical Machining Center</t>
  </si>
  <si>
    <t>Five Axis Machining Center</t>
  </si>
  <si>
    <t>EDM, Electrode</t>
  </si>
  <si>
    <t>EDM, Wire</t>
  </si>
  <si>
    <t>Grinding, Blanchard</t>
  </si>
  <si>
    <t>Grinding, Cylindrical</t>
  </si>
  <si>
    <t>Grinding, Surface</t>
  </si>
  <si>
    <t>Turning Center</t>
  </si>
  <si>
    <t>Multi Axis Turning Center</t>
  </si>
  <si>
    <t>Swiss Machining Center</t>
  </si>
  <si>
    <t>Rotary Transfer Machine</t>
  </si>
  <si>
    <t>Tool and Die / Mold Operations</t>
  </si>
  <si>
    <t>Stamping Die Toolmaker</t>
  </si>
  <si>
    <t>Engineer</t>
  </si>
  <si>
    <t>Programmer</t>
  </si>
  <si>
    <t>Department Lead</t>
  </si>
  <si>
    <t>(Arc, Gas, MIG, Tig, SubArc)</t>
  </si>
  <si>
    <t>Welder, Combination</t>
  </si>
  <si>
    <t>Low</t>
  </si>
  <si>
    <t>High</t>
  </si>
  <si>
    <t>Wage Rate - $/hour</t>
  </si>
  <si>
    <t>Level 1</t>
  </si>
  <si>
    <t>Level 3</t>
  </si>
  <si>
    <t>Level 2</t>
  </si>
  <si>
    <t>Job Classifications</t>
  </si>
  <si>
    <r>
      <t>Level 1</t>
    </r>
    <r>
      <rPr>
        <sz val="10"/>
        <rFont val="Arial Narrow"/>
        <family val="2"/>
      </rPr>
      <t xml:space="preserve"> machinists have minimal machining skills and are typically operators that can change out parts to keep the machine running once it has been set up and programmed.</t>
    </r>
  </si>
  <si>
    <r>
      <t>Level 2</t>
    </r>
    <r>
      <rPr>
        <sz val="10"/>
        <rFont val="Arial Narrow"/>
        <family val="2"/>
      </rPr>
      <t xml:space="preserve"> machinists can perform Level 1 functions as well as make minor program adjustments and modifications without supervision.  </t>
    </r>
  </si>
  <si>
    <r>
      <t>Level 3</t>
    </r>
    <r>
      <rPr>
        <sz val="10"/>
        <rFont val="Arial Narrow"/>
        <family val="2"/>
      </rPr>
      <t xml:space="preserve"> machinists can set up, program and run a job from start to finish without supervision or guidance.</t>
    </r>
  </si>
  <si>
    <r>
      <t>Level 1</t>
    </r>
    <r>
      <rPr>
        <sz val="10"/>
        <rFont val="Arial Narrow"/>
        <family val="2"/>
      </rPr>
      <t xml:space="preserve"> programmers have the ability to program 2D mill toolpaths (prismatic – X,Y movement) for mills and/or 2-axis lathes (X,Z).</t>
    </r>
  </si>
  <si>
    <r>
      <t>Level 3</t>
    </r>
    <r>
      <rPr>
        <sz val="10"/>
        <rFont val="Arial Narrow"/>
        <family val="2"/>
      </rPr>
      <t xml:space="preserve"> programmers have the ability to program advancaed simultaneous 5 axis milling toolpaths and /or an advanced Mill-Turn machine with a B-axis or similar.</t>
    </r>
  </si>
  <si>
    <r>
      <t>Level 2 includes the ability to program a positional 4/5</t>
    </r>
    <r>
      <rPr>
        <vertAlign val="superscript"/>
        <sz val="10"/>
        <rFont val="Arial Narrow"/>
        <family val="2"/>
      </rPr>
      <t>th</t>
    </r>
    <r>
      <rPr>
        <sz val="10"/>
        <rFont val="Arial Narrow"/>
        <family val="2"/>
      </rPr>
      <t xml:space="preserve"> axis mill or a horizontal mill.</t>
    </r>
  </si>
  <si>
    <r>
      <t>Level 2</t>
    </r>
    <r>
      <rPr>
        <sz val="10"/>
        <rFont val="Arial Narrow"/>
        <family val="2"/>
      </rPr>
      <t xml:space="preserve"> programmers have the ability to program 3D mill toolpaths (free form shape – X,Y,Z movement) for mills and/or live tooling lathes (X,Z,C,Y movement).</t>
    </r>
  </si>
  <si>
    <t>Medical/Hospitalization - Employee Coverage</t>
  </si>
  <si>
    <t>Medical/Hospitalization - Dependent/Family Coverage</t>
  </si>
  <si>
    <r>
      <t>Prescription Drug Plan</t>
    </r>
    <r>
      <rPr>
        <sz val="9"/>
        <rFont val="Arial Narrow"/>
        <family val="2"/>
      </rPr>
      <t xml:space="preserve"> (even if included in medical plan)</t>
    </r>
  </si>
  <si>
    <r>
      <t>Dental Plan</t>
    </r>
    <r>
      <rPr>
        <sz val="10"/>
        <rFont val="Arial Narrow"/>
        <family val="2"/>
      </rPr>
      <t xml:space="preserve"> (even if included in medical plan)</t>
    </r>
  </si>
  <si>
    <r>
      <t xml:space="preserve">Are employees paid for </t>
    </r>
    <r>
      <rPr>
        <b/>
        <sz val="10"/>
        <rFont val="Arial Narrow"/>
        <family val="2"/>
      </rPr>
      <t xml:space="preserve">unused paid time off </t>
    </r>
    <r>
      <rPr>
        <sz val="10"/>
        <rFont val="Arial Narrow"/>
        <family val="2"/>
      </rPr>
      <t xml:space="preserve">(vacation) </t>
    </r>
    <r>
      <rPr>
        <b/>
        <sz val="10"/>
        <rFont val="Arial Narrow"/>
        <family val="2"/>
      </rPr>
      <t>accumulated</t>
    </r>
    <r>
      <rPr>
        <sz val="10"/>
        <rFont val="Arial Narrow"/>
        <family val="2"/>
      </rPr>
      <t>?</t>
    </r>
  </si>
  <si>
    <r>
      <t xml:space="preserve">How many </t>
    </r>
    <r>
      <rPr>
        <u/>
        <sz val="10"/>
        <rFont val="Arial Narrow"/>
        <family val="2"/>
      </rPr>
      <t>paid</t>
    </r>
    <r>
      <rPr>
        <sz val="10"/>
        <rFont val="Arial Narrow"/>
        <family val="2"/>
      </rPr>
      <t xml:space="preserve"> holidays do you allow employees per year?</t>
    </r>
  </si>
  <si>
    <t>LALLB</t>
  </si>
  <si>
    <t>HALLB</t>
  </si>
  <si>
    <t>AALLB</t>
  </si>
  <si>
    <t>LALLC</t>
  </si>
  <si>
    <t>HALLC</t>
  </si>
  <si>
    <t>AALLC</t>
  </si>
  <si>
    <t>LALL</t>
  </si>
  <si>
    <t>HALL</t>
  </si>
  <si>
    <t>LDIE</t>
  </si>
  <si>
    <t>HDIE</t>
  </si>
  <si>
    <t>LDEBUR</t>
  </si>
  <si>
    <t>HDEBUR</t>
  </si>
  <si>
    <t>LDEBURB</t>
  </si>
  <si>
    <t>HDEBURB</t>
  </si>
  <si>
    <t>ADEBURB</t>
  </si>
  <si>
    <t>LDEBURC</t>
  </si>
  <si>
    <t>HDEBURC</t>
  </si>
  <si>
    <t>ADEBURC</t>
  </si>
  <si>
    <t>NCNC</t>
  </si>
  <si>
    <t>LCNC</t>
  </si>
  <si>
    <t>HCNC</t>
  </si>
  <si>
    <t>ACNC</t>
  </si>
  <si>
    <t>HCNCC</t>
  </si>
  <si>
    <t>ACNCC</t>
  </si>
  <si>
    <t>LEDM</t>
  </si>
  <si>
    <t>HEDM</t>
  </si>
  <si>
    <t>LEDMB</t>
  </si>
  <si>
    <t>HEDMB</t>
  </si>
  <si>
    <t>AEDMB</t>
  </si>
  <si>
    <t>LEDMC</t>
  </si>
  <si>
    <t>HEDMC</t>
  </si>
  <si>
    <t>AEDMC</t>
  </si>
  <si>
    <t>NHMC</t>
  </si>
  <si>
    <t>NVMC</t>
  </si>
  <si>
    <t>LVMC</t>
  </si>
  <si>
    <t>HVMC</t>
  </si>
  <si>
    <t>AVMC</t>
  </si>
  <si>
    <t>LVMCB</t>
  </si>
  <si>
    <t>HVMCB</t>
  </si>
  <si>
    <t>AVMCB</t>
  </si>
  <si>
    <t>LVMCC</t>
  </si>
  <si>
    <t>HVMCC</t>
  </si>
  <si>
    <t>AVMCC</t>
  </si>
  <si>
    <t>LHMC</t>
  </si>
  <si>
    <t>HHMC</t>
  </si>
  <si>
    <t>AHMC</t>
  </si>
  <si>
    <t>LHMCB</t>
  </si>
  <si>
    <t>HHMCB</t>
  </si>
  <si>
    <t>AHMCB</t>
  </si>
  <si>
    <t>LHMCC</t>
  </si>
  <si>
    <t>HHMCC</t>
  </si>
  <si>
    <t>AHMCC</t>
  </si>
  <si>
    <t>NFIVE</t>
  </si>
  <si>
    <t>LFIVE</t>
  </si>
  <si>
    <t>HFIVE</t>
  </si>
  <si>
    <t>AFIVE</t>
  </si>
  <si>
    <t>LFIVEB</t>
  </si>
  <si>
    <t>HFIVEB</t>
  </si>
  <si>
    <t>AFIVEB</t>
  </si>
  <si>
    <t>LFIVEC</t>
  </si>
  <si>
    <t>HFIVEC</t>
  </si>
  <si>
    <t>AFIVEC</t>
  </si>
  <si>
    <t>NELEC</t>
  </si>
  <si>
    <t>LELEC</t>
  </si>
  <si>
    <t>HELEC</t>
  </si>
  <si>
    <t>AELEC</t>
  </si>
  <si>
    <t>LELECB</t>
  </si>
  <si>
    <t>HELECB</t>
  </si>
  <si>
    <t>AELECB</t>
  </si>
  <si>
    <t>LELECC</t>
  </si>
  <si>
    <t>HELECC</t>
  </si>
  <si>
    <t>AELECC</t>
  </si>
  <si>
    <t>LMOLD</t>
  </si>
  <si>
    <t>HMOLD</t>
  </si>
  <si>
    <t>LDIEB</t>
  </si>
  <si>
    <t>HDIEB</t>
  </si>
  <si>
    <t>ADIEB</t>
  </si>
  <si>
    <t>LDIEC</t>
  </si>
  <si>
    <t>HDIEC</t>
  </si>
  <si>
    <t>ADIEC</t>
  </si>
  <si>
    <t>LMOLDB</t>
  </si>
  <si>
    <t>HMOLDB</t>
  </si>
  <si>
    <t>AMOLDB</t>
  </si>
  <si>
    <t>LMOLDC</t>
  </si>
  <si>
    <t>HMOLDC</t>
  </si>
  <si>
    <t>AMOLDC</t>
  </si>
  <si>
    <t>LENG</t>
  </si>
  <si>
    <t>HENG</t>
  </si>
  <si>
    <t>LPOL</t>
  </si>
  <si>
    <t>HPOL</t>
  </si>
  <si>
    <t>LTOOL</t>
  </si>
  <si>
    <t>HTOOL</t>
  </si>
  <si>
    <t>LPOLB</t>
  </si>
  <si>
    <t>HPOLB</t>
  </si>
  <si>
    <t>APOLB</t>
  </si>
  <si>
    <t>LPOLC</t>
  </si>
  <si>
    <t>HPOLC</t>
  </si>
  <si>
    <t>APOLC</t>
  </si>
  <si>
    <t>LTOOLB</t>
  </si>
  <si>
    <t>HTOOLB</t>
  </si>
  <si>
    <t>ATOOLB</t>
  </si>
  <si>
    <t>LTOOLC</t>
  </si>
  <si>
    <t>HTOOLC</t>
  </si>
  <si>
    <t>ATOOLC</t>
  </si>
  <si>
    <t>LASSMB</t>
  </si>
  <si>
    <t>HASSMB</t>
  </si>
  <si>
    <t>AASSMB</t>
  </si>
  <si>
    <t>LASSMC</t>
  </si>
  <si>
    <t>HASSMC</t>
  </si>
  <si>
    <t>AASSMC</t>
  </si>
  <si>
    <t>LASSM</t>
  </si>
  <si>
    <t>HASSM</t>
  </si>
  <si>
    <t>LENGB</t>
  </si>
  <si>
    <t>HENGB</t>
  </si>
  <si>
    <t>AENGB</t>
  </si>
  <si>
    <t>LENGC</t>
  </si>
  <si>
    <t>HENGC</t>
  </si>
  <si>
    <t>AENGC</t>
  </si>
  <si>
    <t>LINSP</t>
  </si>
  <si>
    <t>HINSP</t>
  </si>
  <si>
    <t>LINSPB</t>
  </si>
  <si>
    <t>HINSPB</t>
  </si>
  <si>
    <t>AINSPB</t>
  </si>
  <si>
    <t>LINSPC</t>
  </si>
  <si>
    <t>HINSPC</t>
  </si>
  <si>
    <t>AINSPC</t>
  </si>
  <si>
    <t>LSAW</t>
  </si>
  <si>
    <t>HSAW</t>
  </si>
  <si>
    <t>LSAWB</t>
  </si>
  <si>
    <t>HSAWB</t>
  </si>
  <si>
    <t>ASAWB</t>
  </si>
  <si>
    <t>LSAWC</t>
  </si>
  <si>
    <t>HSAWC</t>
  </si>
  <si>
    <t>ASAWC</t>
  </si>
  <si>
    <t>LPROG</t>
  </si>
  <si>
    <t>HPROG</t>
  </si>
  <si>
    <t>LMAIN</t>
  </si>
  <si>
    <t>HMAIN</t>
  </si>
  <si>
    <t>LMAINB</t>
  </si>
  <si>
    <t>HMAINB</t>
  </si>
  <si>
    <t>AMAINB</t>
  </si>
  <si>
    <t>LMAINC</t>
  </si>
  <si>
    <t>HMAINC</t>
  </si>
  <si>
    <t>AMAINC</t>
  </si>
  <si>
    <t>LPROGB</t>
  </si>
  <si>
    <t>HPROGB</t>
  </si>
  <si>
    <t>APROGB</t>
  </si>
  <si>
    <t>LPROGC</t>
  </si>
  <si>
    <t>HPROGC</t>
  </si>
  <si>
    <t>APROGC</t>
  </si>
  <si>
    <t>LSHIP</t>
  </si>
  <si>
    <t>HSHIP</t>
  </si>
  <si>
    <t>LSUPR</t>
  </si>
  <si>
    <t>HSUPR</t>
  </si>
  <si>
    <t>LWELD</t>
  </si>
  <si>
    <t>HWELD</t>
  </si>
  <si>
    <t>LPUR</t>
  </si>
  <si>
    <t>HPUR</t>
  </si>
  <si>
    <t>LSHIPB</t>
  </si>
  <si>
    <t>HSHIPB</t>
  </si>
  <si>
    <t>ASHIPB</t>
  </si>
  <si>
    <t>LSHIPC</t>
  </si>
  <si>
    <t>HSHIPC</t>
  </si>
  <si>
    <t>ASHIPC</t>
  </si>
  <si>
    <t>LSUPRB</t>
  </si>
  <si>
    <t>HSUPRB</t>
  </si>
  <si>
    <t>ASUPRB</t>
  </si>
  <si>
    <t>LSUPRC</t>
  </si>
  <si>
    <t>HSUPRC</t>
  </si>
  <si>
    <t>ASUPRC</t>
  </si>
  <si>
    <t>LWELDB</t>
  </si>
  <si>
    <t>HWELDB</t>
  </si>
  <si>
    <t>AWELDB</t>
  </si>
  <si>
    <t>LWELDC</t>
  </si>
  <si>
    <t>HWELDC</t>
  </si>
  <si>
    <t>AWELDC</t>
  </si>
  <si>
    <t>LPURB</t>
  </si>
  <si>
    <t>HPURB</t>
  </si>
  <si>
    <t>APURB</t>
  </si>
  <si>
    <t>LPURC</t>
  </si>
  <si>
    <t>HPURC</t>
  </si>
  <si>
    <t>APURC</t>
  </si>
  <si>
    <t>NLEAD</t>
  </si>
  <si>
    <t>LLEAD</t>
  </si>
  <si>
    <t>HLEAD</t>
  </si>
  <si>
    <t>ALEAD</t>
  </si>
  <si>
    <t>LLEADB</t>
  </si>
  <si>
    <t>HLEADB</t>
  </si>
  <si>
    <t>ALEADB</t>
  </si>
  <si>
    <t>LLEADC</t>
  </si>
  <si>
    <t>HLEADC</t>
  </si>
  <si>
    <t>ALEADC</t>
  </si>
  <si>
    <t>NBLAN</t>
  </si>
  <si>
    <t>LBLAN</t>
  </si>
  <si>
    <t>HBLAN</t>
  </si>
  <si>
    <t>ABLAN</t>
  </si>
  <si>
    <t>LBLANB</t>
  </si>
  <si>
    <t>HBLANB</t>
  </si>
  <si>
    <t>ABLANB</t>
  </si>
  <si>
    <t>LBLANC</t>
  </si>
  <si>
    <t>HBLANC</t>
  </si>
  <si>
    <t>ABLANC</t>
  </si>
  <si>
    <t>NCYL</t>
  </si>
  <si>
    <t>LCYL</t>
  </si>
  <si>
    <t>HCYL</t>
  </si>
  <si>
    <t>ACYL</t>
  </si>
  <si>
    <t>LCYLB</t>
  </si>
  <si>
    <t>HCYLB</t>
  </si>
  <si>
    <t>ACYLB</t>
  </si>
  <si>
    <t>LCYLC</t>
  </si>
  <si>
    <t>HCYLC</t>
  </si>
  <si>
    <t>ACYLC</t>
  </si>
  <si>
    <t>NSUR</t>
  </si>
  <si>
    <t>LSUR</t>
  </si>
  <si>
    <t>HSUR</t>
  </si>
  <si>
    <t>ASUR</t>
  </si>
  <si>
    <t>LSURB</t>
  </si>
  <si>
    <t>HSURB</t>
  </si>
  <si>
    <t>ASURB</t>
  </si>
  <si>
    <t>LSURC</t>
  </si>
  <si>
    <t>HSURC</t>
  </si>
  <si>
    <t>ASURC</t>
  </si>
  <si>
    <t>NTURN</t>
  </si>
  <si>
    <t>LTURN</t>
  </si>
  <si>
    <t>HTURN</t>
  </si>
  <si>
    <t>ATURN</t>
  </si>
  <si>
    <t>LTURNB</t>
  </si>
  <si>
    <t>HTURNB</t>
  </si>
  <si>
    <t>ATURNB</t>
  </si>
  <si>
    <t>LTURNC</t>
  </si>
  <si>
    <t>HTURNC</t>
  </si>
  <si>
    <t>ATURNC</t>
  </si>
  <si>
    <t>NMULTI</t>
  </si>
  <si>
    <t>LMULTI</t>
  </si>
  <si>
    <t>HMULTI</t>
  </si>
  <si>
    <t>AMULTI</t>
  </si>
  <si>
    <t>LMULTIB</t>
  </si>
  <si>
    <t>HMULTIB</t>
  </si>
  <si>
    <t>AMULTIB</t>
  </si>
  <si>
    <t>LMULTIC</t>
  </si>
  <si>
    <t>HMULTIC</t>
  </si>
  <si>
    <t>AMULTIC</t>
  </si>
  <si>
    <t>NSWIS</t>
  </si>
  <si>
    <t>LSWIS</t>
  </si>
  <si>
    <t>HSWIS</t>
  </si>
  <si>
    <t>ASWIS</t>
  </si>
  <si>
    <t>LSWISB</t>
  </si>
  <si>
    <t>HSWISB</t>
  </si>
  <si>
    <t>ASWISB</t>
  </si>
  <si>
    <t>LSWISC</t>
  </si>
  <si>
    <t>HSWISC</t>
  </si>
  <si>
    <t>ASWISC</t>
  </si>
  <si>
    <t>NRTM</t>
  </si>
  <si>
    <t>LRTM</t>
  </si>
  <si>
    <t>HRTM</t>
  </si>
  <si>
    <t>ARTM</t>
  </si>
  <si>
    <t>LRTMB</t>
  </si>
  <si>
    <t>HRTMB</t>
  </si>
  <si>
    <t>ARTMB</t>
  </si>
  <si>
    <t>LRTMC</t>
  </si>
  <si>
    <t>HRTMC</t>
  </si>
  <si>
    <t>ARTMC</t>
  </si>
  <si>
    <t>LFIRSTB</t>
  </si>
  <si>
    <t>HFIRSTB</t>
  </si>
  <si>
    <t>AFIRSTB</t>
  </si>
  <si>
    <t>LFIRSTC</t>
  </si>
  <si>
    <t>HFIRSTC</t>
  </si>
  <si>
    <t>AFIRSTC</t>
  </si>
  <si>
    <t>LSECONDB</t>
  </si>
  <si>
    <t>HSECONDB</t>
  </si>
  <si>
    <t>ASECONDB</t>
  </si>
  <si>
    <t>LSECONDC</t>
  </si>
  <si>
    <t>HSECONDC</t>
  </si>
  <si>
    <t>ASECONDC</t>
  </si>
  <si>
    <t>LTHIRDB</t>
  </si>
  <si>
    <t>HTHIRDB</t>
  </si>
  <si>
    <t>ATHIRDB</t>
  </si>
  <si>
    <t>LTHIRDC</t>
  </si>
  <si>
    <t>HTHIRDC</t>
  </si>
  <si>
    <t>ATHIRDC</t>
  </si>
  <si>
    <t>LFOURTHB</t>
  </si>
  <si>
    <t>HFOURTHB</t>
  </si>
  <si>
    <t>AFOURTHB</t>
  </si>
  <si>
    <t>LFOURTHC</t>
  </si>
  <si>
    <t>HFOURTHC</t>
  </si>
  <si>
    <t>AFOURTHC</t>
  </si>
  <si>
    <t>LALLT</t>
  </si>
  <si>
    <t>HALLT</t>
  </si>
  <si>
    <t>AALLT</t>
  </si>
  <si>
    <t>LCNCT</t>
  </si>
  <si>
    <t>HCNCT</t>
  </si>
  <si>
    <t>ACNCT</t>
  </si>
  <si>
    <t>LHMCT</t>
  </si>
  <si>
    <t>HHMCT</t>
  </si>
  <si>
    <t>AHMCT</t>
  </si>
  <si>
    <t>LVMCT</t>
  </si>
  <si>
    <t>HVMCT</t>
  </si>
  <si>
    <t>AVMCT</t>
  </si>
  <si>
    <t>LFIVET</t>
  </si>
  <si>
    <t>HFIVET</t>
  </si>
  <si>
    <t>AFIVET</t>
  </si>
  <si>
    <t>LELECT</t>
  </si>
  <si>
    <t>HELECT</t>
  </si>
  <si>
    <t>AELECT</t>
  </si>
  <si>
    <t>LEDMT</t>
  </si>
  <si>
    <t>HEDMT</t>
  </si>
  <si>
    <t>AEDMT</t>
  </si>
  <si>
    <t>LBLANT</t>
  </si>
  <si>
    <t>HBLANT</t>
  </si>
  <si>
    <t>ABLANT</t>
  </si>
  <si>
    <t>LCYLT</t>
  </si>
  <si>
    <t>HCYLT</t>
  </si>
  <si>
    <t>ACYLT</t>
  </si>
  <si>
    <t>LSURT</t>
  </si>
  <si>
    <t>HSURT</t>
  </si>
  <si>
    <t>ASURT</t>
  </si>
  <si>
    <t>LTURNT</t>
  </si>
  <si>
    <t>HTURNT</t>
  </si>
  <si>
    <t>ATURNT</t>
  </si>
  <si>
    <t>LMULTIT</t>
  </si>
  <si>
    <t>HMULTIT</t>
  </si>
  <si>
    <t>AMULTIT</t>
  </si>
  <si>
    <t>LSWIST</t>
  </si>
  <si>
    <t>HSWIST</t>
  </si>
  <si>
    <t>ASWIST</t>
  </si>
  <si>
    <t>LRTMT</t>
  </si>
  <si>
    <t>HRTMT</t>
  </si>
  <si>
    <t>ARTMT</t>
  </si>
  <si>
    <t>LSAWT</t>
  </si>
  <si>
    <t>HSAWT</t>
  </si>
  <si>
    <t>ASAWT</t>
  </si>
  <si>
    <t>LMOLDT</t>
  </si>
  <si>
    <t>HMOLDT</t>
  </si>
  <si>
    <t>AMOLDT</t>
  </si>
  <si>
    <t>LDIET</t>
  </si>
  <si>
    <t>HDIET</t>
  </si>
  <si>
    <t>ADIET</t>
  </si>
  <si>
    <t>LDEBURT</t>
  </si>
  <si>
    <t>HDEBURT</t>
  </si>
  <si>
    <t>ADEBURT</t>
  </si>
  <si>
    <t>LPOLT</t>
  </si>
  <si>
    <t>HPOLT</t>
  </si>
  <si>
    <t>APOLT</t>
  </si>
  <si>
    <t>LTOOLT</t>
  </si>
  <si>
    <t>HTOOLT</t>
  </si>
  <si>
    <t>ATOOLT</t>
  </si>
  <si>
    <t>LASSMT</t>
  </si>
  <si>
    <t>HASSMT</t>
  </si>
  <si>
    <t>AASSMT</t>
  </si>
  <si>
    <t>LENGT</t>
  </si>
  <si>
    <t>HENGT</t>
  </si>
  <si>
    <t>AENGT</t>
  </si>
  <si>
    <t>LINSPT</t>
  </si>
  <si>
    <t>HINSPT</t>
  </si>
  <si>
    <t>AINSPT</t>
  </si>
  <si>
    <t>LMAINT</t>
  </si>
  <si>
    <t>HMAINT</t>
  </si>
  <si>
    <t>AMAINT</t>
  </si>
  <si>
    <t>LPROGT</t>
  </si>
  <si>
    <t>HPROGT</t>
  </si>
  <si>
    <t>APROGT</t>
  </si>
  <si>
    <t>LSHIPT</t>
  </si>
  <si>
    <t>HSHIPT</t>
  </si>
  <si>
    <t>ASHIPT</t>
  </si>
  <si>
    <t>LSUPRT</t>
  </si>
  <si>
    <t>HSUPRT</t>
  </si>
  <si>
    <t>ASUPRT</t>
  </si>
  <si>
    <t>LLEADT</t>
  </si>
  <si>
    <t>HLEADT</t>
  </si>
  <si>
    <t>ALEADT</t>
  </si>
  <si>
    <t>LWELDT</t>
  </si>
  <si>
    <t>HWELDT</t>
  </si>
  <si>
    <t>AWELDT</t>
  </si>
  <si>
    <t>LPURT</t>
  </si>
  <si>
    <t>HPURT</t>
  </si>
  <si>
    <t>APURT</t>
  </si>
  <si>
    <t>LFIRSTT</t>
  </si>
  <si>
    <t>HFIRSTT</t>
  </si>
  <si>
    <t>AFIRSTT</t>
  </si>
  <si>
    <t>LSECONDT</t>
  </si>
  <si>
    <t>HSECONDT</t>
  </si>
  <si>
    <t>ASECONDT</t>
  </si>
  <si>
    <t>LTHIRDT</t>
  </si>
  <si>
    <t>HTHIRDT</t>
  </si>
  <si>
    <t>ATHIRDT</t>
  </si>
  <si>
    <t>LFOURTHT</t>
  </si>
  <si>
    <t>HFOURTHT</t>
  </si>
  <si>
    <t>AFOURTHT</t>
  </si>
  <si>
    <t>an individual deductible.</t>
  </si>
  <si>
    <t>Benefit Plans Offered</t>
  </si>
  <si>
    <t>Enter Y/N</t>
  </si>
  <si>
    <r>
      <t>Total</t>
    </r>
    <r>
      <rPr>
        <sz val="10"/>
        <rFont val="Arial"/>
        <family val="2"/>
      </rPr>
      <t xml:space="preserve"> medical insurance premium rate </t>
    </r>
    <r>
      <rPr>
        <b/>
        <u/>
        <sz val="10"/>
        <rFont val="Arial"/>
        <family val="2"/>
      </rPr>
      <t>per month</t>
    </r>
    <r>
      <rPr>
        <sz val="10"/>
        <rFont val="Arial"/>
        <family val="2"/>
      </rPr>
      <t xml:space="preserve"> (based on a 40-44 year old employee)</t>
    </r>
  </si>
  <si>
    <t>A deductible is the amount you must pay out of pocket for medical care before the insurance company begins paying.</t>
  </si>
  <si>
    <t>Individual deductibles are counted toward meeting the family deductible, generally 2 - 4 times larger than an individual deductible.</t>
  </si>
  <si>
    <t>Wherever possible, please report 2019 actual data.  If actual data is not available, please provide your best</t>
  </si>
  <si>
    <t>K401CONT</t>
  </si>
  <si>
    <t>Questions: email taylor@mackayresearchgroup.com</t>
  </si>
  <si>
    <t>or contact Taylor Mackay at the Mackay Research Group, (720) 890-4255</t>
  </si>
  <si>
    <t>Mackay Research Group, P.O. Box 17668, Boulder, CO 80308-0668</t>
  </si>
  <si>
    <t>Primary industry category served</t>
  </si>
  <si>
    <t>(check one)</t>
  </si>
  <si>
    <t>LOB</t>
  </si>
  <si>
    <t>&lt;= New in 2022</t>
  </si>
  <si>
    <t>Tools &amp; Dies</t>
  </si>
  <si>
    <t>Molds</t>
  </si>
  <si>
    <t>General Precision Machining (not Aerospace)</t>
  </si>
  <si>
    <t>Aerospace Machining and Fabrication</t>
  </si>
  <si>
    <t>Special Machines</t>
  </si>
  <si>
    <t>Production Operation</t>
  </si>
  <si>
    <t>Sheet Metal Fabrication</t>
  </si>
  <si>
    <t>Other</t>
  </si>
  <si>
    <t>Assembler</t>
  </si>
  <si>
    <r>
      <t>Important</t>
    </r>
    <r>
      <rPr>
        <sz val="11"/>
        <rFont val="Arial"/>
        <family val="2"/>
      </rPr>
      <t>:  If only one person is performing the job classification,</t>
    </r>
  </si>
  <si>
    <r>
      <t xml:space="preserve">Assembler </t>
    </r>
    <r>
      <rPr>
        <sz val="10"/>
        <rFont val="Aptos Narrow"/>
        <family val="2"/>
      </rPr>
      <t>(Subassemblies, Controls, etc.)</t>
    </r>
  </si>
  <si>
    <t>Comp Contact</t>
  </si>
  <si>
    <t>Comp Email</t>
  </si>
  <si>
    <t>Address1</t>
  </si>
  <si>
    <t>Address2</t>
  </si>
  <si>
    <t>Zip</t>
  </si>
  <si>
    <t>Phone</t>
  </si>
  <si>
    <t>b</t>
  </si>
  <si>
    <t>Email your completed Excel questionnaire to:</t>
  </si>
  <si>
    <t>Machine Operator - no set up</t>
  </si>
  <si>
    <t>Runs machines, but does not set up</t>
  </si>
  <si>
    <t>ii.</t>
  </si>
  <si>
    <t>NMACH</t>
  </si>
  <si>
    <t>LMACH</t>
  </si>
  <si>
    <t>HMACH</t>
  </si>
  <si>
    <t>AMACH</t>
  </si>
  <si>
    <t>NEW in 2025</t>
  </si>
  <si>
    <t>Based on 2026 wage &amp; benefit data</t>
  </si>
  <si>
    <t>t.</t>
  </si>
  <si>
    <t>Press Brake Operator</t>
  </si>
  <si>
    <t>Waterjet Operator</t>
  </si>
  <si>
    <t>Punch Press Operator</t>
  </si>
  <si>
    <t>jj.</t>
  </si>
  <si>
    <t>kk.</t>
  </si>
  <si>
    <t>ll.</t>
  </si>
  <si>
    <t>NPBO</t>
  </si>
  <si>
    <t>LPBO</t>
  </si>
  <si>
    <t>HPBO</t>
  </si>
  <si>
    <t>APBO</t>
  </si>
  <si>
    <t>NWJO</t>
  </si>
  <si>
    <t>LWJO</t>
  </si>
  <si>
    <t>HWJO</t>
  </si>
  <si>
    <t>AWJO</t>
  </si>
  <si>
    <t>NPPO</t>
  </si>
  <si>
    <t>LPPO</t>
  </si>
  <si>
    <t>HPPO</t>
  </si>
  <si>
    <t>APPO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</si>
</sst>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00000"/>
    <numFmt numFmtId="166" formatCode="&quot;$&quot;#,##0"/>
    <numFmt numFmtId="167" formatCode="0.0"/>
    <numFmt numFmtId="168" formatCode="#,##0.0"/>
    <numFmt numFmtId="169" formatCode="[&lt;=9999999]###\-####;\(###\)\ ###\-####"/>
    <numFmt numFmtId="170" formatCode="&quot;$&quot;#,##0.00"/>
    <numFmt numFmtId="171" formatCode="[$-409]mmmm\ d\,\ yyyy;@"/>
    <numFmt numFmtId="172" formatCode="General_)"/>
    <numFmt numFmtId="173" formatCode="[h]:mm"/>
    <numFmt numFmtId="174" formatCode="&quot;$&quot;#,##0;[Red]\-&quot;$&quot;#,##0"/>
    <numFmt numFmtId="175" formatCode="#,##0.00\ &quot;Pts&quot;;[Red]\-#,##0.00\ &quot;Pts&quot;"/>
    <numFmt numFmtId="176" formatCode="#,##0.00&quot; $&quot;;\-#,##0.00&quot; $&quot;"/>
    <numFmt numFmtId="177" formatCode="#,##0.0000000"/>
    <numFmt numFmtId="178" formatCode="###,000"/>
  </numFmts>
  <fonts count="85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9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sz val="10"/>
      <name val="Arial Black"/>
      <family val="2"/>
    </font>
    <font>
      <vertAlign val="superscript"/>
      <sz val="10"/>
      <name val="Arial Narrow"/>
      <family val="2"/>
    </font>
    <font>
      <sz val="9"/>
      <name val="Arial Narrow"/>
      <family val="2"/>
    </font>
    <font>
      <u/>
      <sz val="10"/>
      <name val="Arial Narrow"/>
      <family val="2"/>
    </font>
    <font>
      <i/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0"/>
      <name val="Calibri"/>
      <family val="2"/>
    </font>
    <font>
      <b/>
      <sz val="13"/>
      <color indexed="60"/>
      <name val="Calibri"/>
      <family val="2"/>
    </font>
    <font>
      <b/>
      <sz val="11"/>
      <color indexed="60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0"/>
      <name val="Cambria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9"/>
      <name val="Helvetica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2"/>
      <name val="Courier"/>
      <family val="3"/>
    </font>
    <font>
      <sz val="11"/>
      <name val="??"/>
      <family val="3"/>
      <charset val="129"/>
    </font>
    <font>
      <b/>
      <u/>
      <sz val="11"/>
      <color indexed="37"/>
      <name val="Arial"/>
      <family val="2"/>
    </font>
    <font>
      <sz val="7"/>
      <name val="Small Fonts"/>
      <family val="2"/>
    </font>
    <font>
      <sz val="8"/>
      <color indexed="12"/>
      <name val="Arial"/>
      <family val="2"/>
    </font>
    <font>
      <sz val="8"/>
      <color indexed="8"/>
      <name val="Arial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i/>
      <sz val="8"/>
      <color indexed="8"/>
      <name val="Verdana"/>
      <family val="2"/>
    </font>
    <font>
      <b/>
      <i/>
      <sz val="8"/>
      <color indexed="8"/>
      <name val="Verdana"/>
      <family val="2"/>
    </font>
    <font>
      <b/>
      <sz val="8"/>
      <color indexed="11"/>
      <name val="Verdana"/>
      <family val="2"/>
    </font>
    <font>
      <b/>
      <sz val="8"/>
      <color indexed="13"/>
      <name val="Verdana"/>
      <family val="2"/>
    </font>
    <font>
      <b/>
      <sz val="8"/>
      <color indexed="10"/>
      <name val="Verdana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color rgb="FF000000"/>
      <name val="Tahoma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0"/>
      <name val="Aptos Narrow"/>
      <family val="2"/>
    </font>
    <font>
      <sz val="10"/>
      <color indexed="8"/>
      <name val="MS Sans Serif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b/>
      <u/>
      <sz val="11"/>
      <color theme="0"/>
      <name val="Arial"/>
      <family val="2"/>
    </font>
    <font>
      <b/>
      <sz val="11"/>
      <color theme="0"/>
      <name val="Arial Narrow"/>
      <family val="2"/>
    </font>
  </fonts>
  <fills count="5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51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1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22"/>
      </left>
      <right style="hair">
        <color indexed="22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2"/>
      </top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622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2" borderId="0" applyNumberFormat="0" applyBorder="0" applyAlignment="0" applyProtection="0"/>
    <xf numFmtId="0" fontId="29" fillId="4" borderId="0" applyNumberFormat="0" applyBorder="0" applyAlignment="0" applyProtection="0"/>
    <xf numFmtId="0" fontId="29" fillId="2" borderId="0" applyNumberFormat="0" applyBorder="0" applyAlignment="0" applyProtection="0"/>
    <xf numFmtId="0" fontId="29" fillId="6" borderId="0" applyNumberFormat="0" applyBorder="0" applyAlignment="0" applyProtection="0"/>
    <xf numFmtId="0" fontId="29" fillId="3" borderId="0" applyNumberFormat="0" applyBorder="0" applyAlignment="0" applyProtection="0"/>
    <xf numFmtId="0" fontId="29" fillId="5" borderId="0" applyNumberFormat="0" applyBorder="0" applyAlignment="0" applyProtection="0"/>
    <xf numFmtId="0" fontId="29" fillId="4" borderId="0" applyNumberFormat="0" applyBorder="0" applyAlignment="0" applyProtection="0"/>
    <xf numFmtId="0" fontId="29" fillId="7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2" borderId="0" applyNumberFormat="0" applyBorder="0" applyAlignment="0" applyProtection="0"/>
    <xf numFmtId="0" fontId="29" fillId="9" borderId="0" applyNumberFormat="0" applyBorder="0" applyAlignment="0" applyProtection="0"/>
    <xf numFmtId="0" fontId="29" fillId="4" borderId="0" applyNumberFormat="0" applyBorder="0" applyAlignment="0" applyProtection="0"/>
    <xf numFmtId="0" fontId="29" fillId="2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2" borderId="0" applyNumberFormat="0" applyBorder="0" applyAlignment="0" applyProtection="0"/>
    <xf numFmtId="0" fontId="29" fillId="11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3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2" borderId="0" applyNumberFormat="0" applyBorder="0" applyAlignment="0" applyProtection="0"/>
    <xf numFmtId="0" fontId="29" fillId="8" borderId="0" applyNumberFormat="0" applyBorder="0" applyAlignment="0" applyProtection="0"/>
    <xf numFmtId="0" fontId="29" fillId="2" borderId="0" applyNumberFormat="0" applyBorder="0" applyAlignment="0" applyProtection="0"/>
    <xf numFmtId="0" fontId="29" fillId="13" borderId="0" applyNumberFormat="0" applyBorder="0" applyAlignment="0" applyProtection="0"/>
    <xf numFmtId="0" fontId="29" fillId="11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3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0" borderId="0" applyNumberFormat="0" applyBorder="0" applyAlignment="0" applyProtection="0"/>
    <xf numFmtId="0" fontId="30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15" borderId="0" applyNumberFormat="0" applyBorder="0" applyAlignment="0" applyProtection="0"/>
    <xf numFmtId="0" fontId="30" fillId="3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10" borderId="0" applyNumberFormat="0" applyBorder="0" applyAlignment="0" applyProtection="0"/>
    <xf numFmtId="0" fontId="30" fillId="17" borderId="0" applyNumberFormat="0" applyBorder="0" applyAlignment="0" applyProtection="0"/>
    <xf numFmtId="0" fontId="30" fillId="3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3" borderId="0" applyNumberFormat="0" applyBorder="0" applyAlignment="0" applyProtection="0"/>
    <xf numFmtId="173" fontId="5" fillId="24" borderId="1">
      <alignment horizontal="center" vertical="center"/>
    </xf>
    <xf numFmtId="0" fontId="4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31" fillId="5" borderId="0" applyNumberFormat="0" applyBorder="0" applyAlignment="0" applyProtection="0"/>
    <xf numFmtId="3" fontId="48" fillId="0" borderId="0"/>
    <xf numFmtId="0" fontId="32" fillId="25" borderId="2" applyNumberFormat="0" applyAlignment="0" applyProtection="0"/>
    <xf numFmtId="0" fontId="32" fillId="25" borderId="2" applyNumberFormat="0" applyAlignment="0" applyProtection="0"/>
    <xf numFmtId="0" fontId="32" fillId="25" borderId="2" applyNumberFormat="0" applyAlignment="0" applyProtection="0"/>
    <xf numFmtId="0" fontId="32" fillId="25" borderId="2" applyNumberFormat="0" applyAlignment="0" applyProtection="0"/>
    <xf numFmtId="0" fontId="66" fillId="12" borderId="2" applyNumberFormat="0" applyAlignment="0" applyProtection="0"/>
    <xf numFmtId="0" fontId="66" fillId="12" borderId="2" applyNumberFormat="0" applyAlignment="0" applyProtection="0"/>
    <xf numFmtId="0" fontId="40" fillId="0" borderId="3" applyNumberFormat="0" applyFill="0" applyAlignment="0" applyProtection="0"/>
    <xf numFmtId="0" fontId="33" fillId="26" borderId="4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5" fillId="4" borderId="5" applyNumberFormat="0" applyFont="0" applyAlignment="0" applyProtection="0"/>
    <xf numFmtId="0" fontId="5" fillId="4" borderId="5" applyNumberFormat="0" applyFon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4" fillId="0" borderId="0">
      <protection locked="0"/>
    </xf>
    <xf numFmtId="0" fontId="39" fillId="11" borderId="2" applyNumberFormat="0" applyAlignment="0" applyProtection="0"/>
    <xf numFmtId="0" fontId="39" fillId="11" borderId="2" applyNumberFormat="0" applyAlignment="0" applyProtection="0"/>
    <xf numFmtId="172" fontId="53" fillId="0" borderId="0"/>
    <xf numFmtId="0" fontId="34" fillId="0" borderId="0" applyNumberFormat="0" applyFill="0" applyBorder="0" applyAlignment="0" applyProtection="0"/>
    <xf numFmtId="175" fontId="5" fillId="0" borderId="0">
      <protection locked="0"/>
    </xf>
    <xf numFmtId="0" fontId="35" fillId="7" borderId="0" applyNumberFormat="0" applyBorder="0" applyAlignment="0" applyProtection="0"/>
    <xf numFmtId="38" fontId="8" fillId="27" borderId="0" applyNumberFormat="0" applyBorder="0" applyAlignment="0" applyProtection="0"/>
    <xf numFmtId="0" fontId="55" fillId="0" borderId="0" applyNumberFormat="0" applyFill="0" applyBorder="0" applyAlignment="0" applyProtection="0"/>
    <xf numFmtId="0" fontId="45" fillId="0" borderId="6" applyNumberFormat="0" applyAlignment="0" applyProtection="0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45" fillId="0" borderId="7">
      <alignment horizontal="left" vertical="center"/>
    </xf>
    <xf numFmtId="0" fontId="36" fillId="0" borderId="8" applyNumberFormat="0" applyFill="0" applyAlignment="0" applyProtection="0"/>
    <xf numFmtId="0" fontId="67" fillId="0" borderId="9" applyNumberFormat="0" applyFill="0" applyAlignment="0" applyProtection="0"/>
    <xf numFmtId="0" fontId="37" fillId="0" borderId="10" applyNumberFormat="0" applyFill="0" applyAlignment="0" applyProtection="0"/>
    <xf numFmtId="0" fontId="68" fillId="0" borderId="11" applyNumberFormat="0" applyFill="0" applyAlignment="0" applyProtection="0"/>
    <xf numFmtId="0" fontId="38" fillId="0" borderId="12" applyNumberFormat="0" applyFill="0" applyAlignment="0" applyProtection="0"/>
    <xf numFmtId="0" fontId="6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6" fontId="5" fillId="0" borderId="0">
      <protection locked="0"/>
    </xf>
    <xf numFmtId="176" fontId="5" fillId="0" borderId="0">
      <protection locked="0"/>
    </xf>
    <xf numFmtId="0" fontId="47" fillId="0" borderId="14" applyNumberFormat="0" applyFill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10" fontId="8" fillId="28" borderId="15" applyNumberFormat="0" applyBorder="0" applyAlignment="0" applyProtection="0"/>
    <xf numFmtId="10" fontId="8" fillId="28" borderId="15" applyNumberFormat="0" applyBorder="0" applyAlignment="0" applyProtection="0"/>
    <xf numFmtId="10" fontId="8" fillId="28" borderId="15" applyNumberFormat="0" applyBorder="0" applyAlignment="0" applyProtection="0"/>
    <xf numFmtId="10" fontId="8" fillId="28" borderId="15" applyNumberFormat="0" applyBorder="0" applyAlignment="0" applyProtection="0"/>
    <xf numFmtId="10" fontId="8" fillId="28" borderId="15" applyNumberFormat="0" applyBorder="0" applyAlignment="0" applyProtection="0"/>
    <xf numFmtId="10" fontId="8" fillId="28" borderId="15" applyNumberFormat="0" applyBorder="0" applyAlignment="0" applyProtection="0"/>
    <xf numFmtId="10" fontId="8" fillId="28" borderId="15" applyNumberFormat="0" applyBorder="0" applyAlignment="0" applyProtection="0"/>
    <xf numFmtId="10" fontId="8" fillId="28" borderId="15" applyNumberFormat="0" applyBorder="0" applyAlignment="0" applyProtection="0"/>
    <xf numFmtId="10" fontId="8" fillId="28" borderId="15" applyNumberFormat="0" applyBorder="0" applyAlignment="0" applyProtection="0"/>
    <xf numFmtId="0" fontId="39" fillId="2" borderId="2" applyNumberFormat="0" applyAlignment="0" applyProtection="0"/>
    <xf numFmtId="0" fontId="39" fillId="2" borderId="2" applyNumberFormat="0" applyAlignment="0" applyProtection="0"/>
    <xf numFmtId="0" fontId="39" fillId="2" borderId="2" applyNumberFormat="0" applyAlignment="0" applyProtection="0"/>
    <xf numFmtId="0" fontId="39" fillId="2" borderId="2" applyNumberFormat="0" applyAlignment="0" applyProtection="0"/>
    <xf numFmtId="0" fontId="39" fillId="2" borderId="2" applyNumberFormat="0" applyAlignment="0" applyProtection="0"/>
    <xf numFmtId="0" fontId="39" fillId="2" borderId="2" applyNumberFormat="0" applyAlignment="0" applyProtection="0"/>
    <xf numFmtId="0" fontId="39" fillId="2" borderId="2" applyNumberFormat="0" applyAlignment="0" applyProtection="0"/>
    <xf numFmtId="0" fontId="39" fillId="2" borderId="2" applyNumberFormat="0" applyAlignment="0" applyProtection="0"/>
    <xf numFmtId="0" fontId="39" fillId="2" borderId="2" applyNumberFormat="0" applyAlignment="0" applyProtection="0"/>
    <xf numFmtId="0" fontId="39" fillId="2" borderId="2" applyNumberFormat="0" applyAlignment="0" applyProtection="0"/>
    <xf numFmtId="0" fontId="39" fillId="11" borderId="2" applyNumberFormat="0" applyAlignment="0" applyProtection="0"/>
    <xf numFmtId="0" fontId="39" fillId="11" borderId="2" applyNumberFormat="0" applyAlignment="0" applyProtection="0"/>
    <xf numFmtId="0" fontId="39" fillId="2" borderId="2" applyNumberFormat="0" applyAlignment="0" applyProtection="0"/>
    <xf numFmtId="0" fontId="39" fillId="2" borderId="2" applyNumberFormat="0" applyAlignment="0" applyProtection="0"/>
    <xf numFmtId="0" fontId="39" fillId="11" borderId="2" applyNumberFormat="0" applyAlignment="0" applyProtection="0"/>
    <xf numFmtId="0" fontId="39" fillId="11" borderId="2" applyNumberFormat="0" applyAlignment="0" applyProtection="0"/>
    <xf numFmtId="0" fontId="39" fillId="2" borderId="2" applyNumberFormat="0" applyAlignment="0" applyProtection="0"/>
    <xf numFmtId="0" fontId="39" fillId="2" borderId="2" applyNumberFormat="0" applyAlignment="0" applyProtection="0"/>
    <xf numFmtId="0" fontId="39" fillId="2" borderId="2" applyNumberFormat="0" applyAlignment="0" applyProtection="0"/>
    <xf numFmtId="0" fontId="39" fillId="2" borderId="2" applyNumberFormat="0" applyAlignment="0" applyProtection="0"/>
    <xf numFmtId="0" fontId="39" fillId="2" borderId="2" applyNumberFormat="0" applyAlignment="0" applyProtection="0"/>
    <xf numFmtId="0" fontId="39" fillId="2" borderId="2" applyNumberFormat="0" applyAlignment="0" applyProtection="0"/>
    <xf numFmtId="0" fontId="31" fillId="8" borderId="0" applyNumberFormat="0" applyBorder="0" applyAlignment="0" applyProtection="0"/>
    <xf numFmtId="0" fontId="40" fillId="0" borderId="3" applyNumberFormat="0" applyFill="0" applyAlignment="0" applyProtection="0"/>
    <xf numFmtId="0" fontId="70" fillId="0" borderId="16" applyNumberFormat="0" applyFill="0" applyAlignment="0" applyProtection="0"/>
    <xf numFmtId="43" fontId="29" fillId="0" borderId="0" applyFont="0" applyFill="0" applyBorder="0" applyAlignment="0" applyProtection="0"/>
    <xf numFmtId="0" fontId="41" fillId="11" borderId="0" applyNumberFormat="0" applyBorder="0" applyAlignment="0" applyProtection="0"/>
    <xf numFmtId="0" fontId="71" fillId="11" borderId="0" applyNumberFormat="0" applyBorder="0" applyAlignment="0" applyProtection="0"/>
    <xf numFmtId="0" fontId="41" fillId="11" borderId="0" applyNumberFormat="0" applyBorder="0" applyAlignment="0" applyProtection="0"/>
    <xf numFmtId="37" fontId="56" fillId="0" borderId="0"/>
    <xf numFmtId="177" fontId="5" fillId="0" borderId="0"/>
    <xf numFmtId="0" fontId="73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2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29" fillId="0" borderId="0"/>
    <xf numFmtId="0" fontId="73" fillId="0" borderId="0"/>
    <xf numFmtId="0" fontId="5" fillId="0" borderId="0"/>
    <xf numFmtId="0" fontId="29" fillId="0" borderId="0"/>
    <xf numFmtId="0" fontId="73" fillId="0" borderId="0"/>
    <xf numFmtId="0" fontId="5" fillId="0" borderId="0"/>
    <xf numFmtId="0" fontId="29" fillId="0" borderId="0"/>
    <xf numFmtId="0" fontId="73" fillId="0" borderId="0"/>
    <xf numFmtId="0" fontId="29" fillId="0" borderId="0"/>
    <xf numFmtId="0" fontId="73" fillId="0" borderId="0"/>
    <xf numFmtId="0" fontId="29" fillId="0" borderId="0"/>
    <xf numFmtId="0" fontId="73" fillId="0" borderId="0"/>
    <xf numFmtId="0" fontId="29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46" fillId="0" borderId="0"/>
    <xf numFmtId="0" fontId="29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29" fillId="0" borderId="0"/>
    <xf numFmtId="0" fontId="73" fillId="0" borderId="0"/>
    <xf numFmtId="0" fontId="29" fillId="0" borderId="0"/>
    <xf numFmtId="0" fontId="73" fillId="0" borderId="0"/>
    <xf numFmtId="0" fontId="29" fillId="0" borderId="0"/>
    <xf numFmtId="0" fontId="73" fillId="0" borderId="0"/>
    <xf numFmtId="0" fontId="29" fillId="0" borderId="0"/>
    <xf numFmtId="0" fontId="73" fillId="0" borderId="0"/>
    <xf numFmtId="0" fontId="29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73" fillId="0" borderId="0"/>
    <xf numFmtId="0" fontId="46" fillId="0" borderId="0"/>
    <xf numFmtId="0" fontId="73" fillId="0" borderId="0"/>
    <xf numFmtId="0" fontId="29" fillId="0" borderId="0"/>
    <xf numFmtId="0" fontId="73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46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73" fillId="0" borderId="0"/>
    <xf numFmtId="0" fontId="46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73" fillId="0" borderId="0"/>
    <xf numFmtId="0" fontId="46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" borderId="5" applyNumberFormat="0" applyFont="0" applyAlignment="0" applyProtection="0"/>
    <xf numFmtId="0" fontId="5" fillId="4" borderId="5" applyNumberFormat="0" applyFont="0" applyAlignment="0" applyProtection="0"/>
    <xf numFmtId="0" fontId="5" fillId="4" borderId="5" applyNumberFormat="0" applyFont="0" applyAlignment="0" applyProtection="0"/>
    <xf numFmtId="0" fontId="5" fillId="4" borderId="5" applyNumberFormat="0" applyFont="0" applyAlignment="0" applyProtection="0"/>
    <xf numFmtId="0" fontId="42" fillId="25" borderId="17" applyNumberFormat="0" applyAlignment="0" applyProtection="0"/>
    <xf numFmtId="0" fontId="42" fillId="25" borderId="17" applyNumberFormat="0" applyAlignment="0" applyProtection="0"/>
    <xf numFmtId="0" fontId="42" fillId="12" borderId="17" applyNumberFormat="0" applyAlignment="0" applyProtection="0"/>
    <xf numFmtId="40" fontId="49" fillId="29" borderId="0">
      <alignment horizontal="right"/>
    </xf>
    <xf numFmtId="0" fontId="50" fillId="29" borderId="0">
      <alignment horizontal="right"/>
    </xf>
    <xf numFmtId="0" fontId="51" fillId="29" borderId="18"/>
    <xf numFmtId="0" fontId="51" fillId="0" borderId="0" applyBorder="0">
      <alignment horizontal="centerContinuous"/>
    </xf>
    <xf numFmtId="0" fontId="52" fillId="0" borderId="0" applyBorder="0">
      <alignment horizontal="centerContinuous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58" fillId="0" borderId="19" applyNumberFormat="0" applyFont="0" applyFill="0" applyAlignment="0" applyProtection="0"/>
    <xf numFmtId="0" fontId="58" fillId="0" borderId="19" applyNumberFormat="0" applyFont="0" applyFill="0" applyAlignment="0" applyProtection="0"/>
    <xf numFmtId="178" fontId="59" fillId="0" borderId="20" applyNumberFormat="0" applyAlignment="0" applyProtection="0">
      <alignment horizontal="right" vertical="center" indent="1"/>
    </xf>
    <xf numFmtId="178" fontId="60" fillId="30" borderId="21" applyNumberFormat="0" applyAlignment="0" applyProtection="0">
      <alignment horizontal="right" vertical="center" indent="1"/>
    </xf>
    <xf numFmtId="0" fontId="60" fillId="31" borderId="2" applyNumberFormat="0" applyAlignment="0" applyProtection="0">
      <alignment horizontal="left" vertical="center" indent="1"/>
    </xf>
    <xf numFmtId="0" fontId="60" fillId="31" borderId="2" applyNumberFormat="0" applyAlignment="0" applyProtection="0">
      <alignment horizontal="left" vertical="center" indent="1"/>
    </xf>
    <xf numFmtId="178" fontId="59" fillId="32" borderId="2" applyNumberFormat="0" applyAlignment="0" applyProtection="0">
      <alignment horizontal="left" vertical="center" indent="1"/>
    </xf>
    <xf numFmtId="178" fontId="59" fillId="32" borderId="2" applyNumberFormat="0" applyAlignment="0" applyProtection="0">
      <alignment horizontal="left" vertical="center" indent="1"/>
    </xf>
    <xf numFmtId="0" fontId="59" fillId="32" borderId="2" applyNumberFormat="0" applyAlignment="0" applyProtection="0">
      <alignment horizontal="left" vertical="center" indent="1"/>
    </xf>
    <xf numFmtId="0" fontId="59" fillId="32" borderId="2" applyNumberFormat="0" applyAlignment="0" applyProtection="0">
      <alignment horizontal="left" vertical="center" indent="1"/>
    </xf>
    <xf numFmtId="0" fontId="61" fillId="0" borderId="22" applyNumberFormat="0" applyFill="0" applyBorder="0" applyAlignment="0" applyProtection="0"/>
    <xf numFmtId="0" fontId="61" fillId="0" borderId="22" applyNumberFormat="0" applyFill="0" applyBorder="0" applyAlignment="0" applyProtection="0"/>
    <xf numFmtId="178" fontId="61" fillId="32" borderId="2" applyNumberFormat="0" applyAlignment="0" applyProtection="0">
      <alignment horizontal="left" vertical="center" indent="1"/>
    </xf>
    <xf numFmtId="178" fontId="61" fillId="32" borderId="2" applyNumberFormat="0" applyAlignment="0" applyProtection="0">
      <alignment horizontal="left" vertical="center" indent="1"/>
    </xf>
    <xf numFmtId="0" fontId="61" fillId="32" borderId="2" applyNumberFormat="0" applyAlignment="0" applyProtection="0">
      <alignment horizontal="left" vertical="center" indent="1"/>
    </xf>
    <xf numFmtId="0" fontId="61" fillId="32" borderId="2" applyNumberFormat="0" applyAlignment="0" applyProtection="0">
      <alignment horizontal="left" vertical="center" indent="1"/>
    </xf>
    <xf numFmtId="178" fontId="61" fillId="33" borderId="20" applyNumberFormat="0" applyBorder="0" applyAlignment="0" applyProtection="0">
      <alignment horizontal="right" vertical="center" indent="1"/>
    </xf>
    <xf numFmtId="178" fontId="62" fillId="33" borderId="21" applyNumberFormat="0" applyAlignment="0" applyProtection="0">
      <alignment horizontal="right" vertical="center" indent="1"/>
    </xf>
    <xf numFmtId="0" fontId="61" fillId="32" borderId="2" applyNumberFormat="0" applyAlignment="0" applyProtection="0">
      <alignment horizontal="left" vertical="center" indent="1"/>
    </xf>
    <xf numFmtId="0" fontId="61" fillId="32" borderId="2" applyNumberFormat="0" applyAlignment="0" applyProtection="0">
      <alignment horizontal="left" vertical="center" indent="1"/>
    </xf>
    <xf numFmtId="178" fontId="62" fillId="30" borderId="21" applyNumberFormat="0" applyAlignment="0" applyProtection="0">
      <alignment horizontal="right" vertical="center" indent="1"/>
    </xf>
    <xf numFmtId="178" fontId="62" fillId="30" borderId="21" applyNumberFormat="0" applyAlignment="0" applyProtection="0">
      <alignment horizontal="right" vertical="center" indent="1"/>
    </xf>
    <xf numFmtId="178" fontId="63" fillId="34" borderId="23" applyNumberFormat="0" applyBorder="0" applyAlignment="0" applyProtection="0">
      <alignment horizontal="right" vertical="center" indent="1"/>
    </xf>
    <xf numFmtId="178" fontId="63" fillId="34" borderId="23" applyNumberFormat="0" applyBorder="0" applyAlignment="0" applyProtection="0">
      <alignment horizontal="right" vertical="center" indent="1"/>
    </xf>
    <xf numFmtId="178" fontId="63" fillId="35" borderId="23" applyNumberFormat="0" applyBorder="0" applyAlignment="0" applyProtection="0">
      <alignment horizontal="right" vertical="center" indent="1"/>
    </xf>
    <xf numFmtId="178" fontId="63" fillId="35" borderId="23" applyNumberFormat="0" applyBorder="0" applyAlignment="0" applyProtection="0">
      <alignment horizontal="right" vertical="center" indent="1"/>
    </xf>
    <xf numFmtId="178" fontId="63" fillId="35" borderId="23" applyNumberFormat="0" applyBorder="0" applyAlignment="0" applyProtection="0">
      <alignment horizontal="right" vertical="center" indent="1"/>
    </xf>
    <xf numFmtId="178" fontId="63" fillId="35" borderId="23" applyNumberFormat="0" applyBorder="0" applyAlignment="0" applyProtection="0">
      <alignment horizontal="right" vertical="center" indent="1"/>
    </xf>
    <xf numFmtId="178" fontId="64" fillId="36" borderId="23" applyNumberFormat="0" applyBorder="0" applyAlignment="0" applyProtection="0">
      <alignment horizontal="right" vertical="center" indent="1"/>
    </xf>
    <xf numFmtId="178" fontId="64" fillId="36" borderId="23" applyNumberFormat="0" applyBorder="0" applyAlignment="0" applyProtection="0">
      <alignment horizontal="right" vertical="center" indent="1"/>
    </xf>
    <xf numFmtId="178" fontId="64" fillId="37" borderId="23" applyNumberFormat="0" applyBorder="0" applyAlignment="0" applyProtection="0">
      <alignment horizontal="right" vertical="center" indent="1"/>
    </xf>
    <xf numFmtId="178" fontId="64" fillId="37" borderId="23" applyNumberFormat="0" applyBorder="0" applyAlignment="0" applyProtection="0">
      <alignment horizontal="right" vertical="center" indent="1"/>
    </xf>
    <xf numFmtId="178" fontId="64" fillId="38" borderId="23" applyNumberFormat="0" applyBorder="0" applyAlignment="0" applyProtection="0">
      <alignment horizontal="right" vertical="center" indent="1"/>
    </xf>
    <xf numFmtId="178" fontId="64" fillId="38" borderId="23" applyNumberFormat="0" applyBorder="0" applyAlignment="0" applyProtection="0">
      <alignment horizontal="right" vertical="center" indent="1"/>
    </xf>
    <xf numFmtId="178" fontId="65" fillId="39" borderId="23" applyNumberFormat="0" applyBorder="0" applyAlignment="0" applyProtection="0">
      <alignment horizontal="right" vertical="center" indent="1"/>
    </xf>
    <xf numFmtId="178" fontId="65" fillId="39" borderId="23" applyNumberFormat="0" applyBorder="0" applyAlignment="0" applyProtection="0">
      <alignment horizontal="right" vertical="center" indent="1"/>
    </xf>
    <xf numFmtId="178" fontId="65" fillId="38" borderId="23" applyNumberFormat="0" applyBorder="0" applyAlignment="0" applyProtection="0">
      <alignment horizontal="right" vertical="center" indent="1"/>
    </xf>
    <xf numFmtId="178" fontId="65" fillId="38" borderId="23" applyNumberFormat="0" applyBorder="0" applyAlignment="0" applyProtection="0">
      <alignment horizontal="right" vertical="center" indent="1"/>
    </xf>
    <xf numFmtId="178" fontId="65" fillId="38" borderId="23" applyNumberFormat="0" applyBorder="0" applyAlignment="0" applyProtection="0">
      <alignment horizontal="right" vertical="center" indent="1"/>
    </xf>
    <xf numFmtId="178" fontId="65" fillId="38" borderId="23" applyNumberFormat="0" applyBorder="0" applyAlignment="0" applyProtection="0">
      <alignment horizontal="right" vertical="center" indent="1"/>
    </xf>
    <xf numFmtId="0" fontId="59" fillId="31" borderId="21" applyNumberFormat="0" applyAlignment="0" applyProtection="0">
      <alignment horizontal="left" vertical="center" indent="1"/>
    </xf>
    <xf numFmtId="0" fontId="59" fillId="40" borderId="2" applyNumberFormat="0" applyAlignment="0" applyProtection="0">
      <alignment horizontal="left" vertical="center" indent="1"/>
    </xf>
    <xf numFmtId="0" fontId="59" fillId="40" borderId="2" applyNumberFormat="0" applyAlignment="0" applyProtection="0">
      <alignment horizontal="left" vertical="center" indent="1"/>
    </xf>
    <xf numFmtId="0" fontId="59" fillId="33" borderId="2" applyNumberFormat="0" applyAlignment="0" applyProtection="0">
      <alignment horizontal="left" vertical="center" indent="1"/>
    </xf>
    <xf numFmtId="0" fontId="59" fillId="33" borderId="2" applyNumberFormat="0" applyAlignment="0" applyProtection="0">
      <alignment horizontal="left" vertical="center" indent="1"/>
    </xf>
    <xf numFmtId="0" fontId="59" fillId="33" borderId="2" applyNumberFormat="0" applyAlignment="0" applyProtection="0">
      <alignment horizontal="left" vertical="center" indent="1"/>
    </xf>
    <xf numFmtId="0" fontId="59" fillId="33" borderId="2" applyNumberFormat="0" applyAlignment="0" applyProtection="0">
      <alignment horizontal="left" vertical="center" indent="1"/>
    </xf>
    <xf numFmtId="0" fontId="59" fillId="33" borderId="2" applyNumberFormat="0" applyAlignment="0" applyProtection="0">
      <alignment horizontal="left" vertical="center" indent="1"/>
    </xf>
    <xf numFmtId="0" fontId="59" fillId="33" borderId="2" applyNumberFormat="0" applyAlignment="0" applyProtection="0">
      <alignment horizontal="left" vertical="center" indent="1"/>
    </xf>
    <xf numFmtId="0" fontId="59" fillId="32" borderId="2" applyNumberFormat="0" applyAlignment="0" applyProtection="0">
      <alignment horizontal="left" vertical="center" indent="1"/>
    </xf>
    <xf numFmtId="0" fontId="59" fillId="32" borderId="2" applyNumberFormat="0" applyAlignment="0" applyProtection="0">
      <alignment horizontal="left" vertical="center" indent="1"/>
    </xf>
    <xf numFmtId="0" fontId="59" fillId="29" borderId="21" applyNumberFormat="0" applyAlignment="0" applyProtection="0">
      <alignment horizontal="left" vertical="center" indent="1"/>
    </xf>
    <xf numFmtId="178" fontId="59" fillId="33" borderId="20" applyNumberFormat="0" applyBorder="0" applyAlignment="0" applyProtection="0">
      <alignment horizontal="right" vertical="center" indent="1"/>
    </xf>
    <xf numFmtId="178" fontId="60" fillId="33" borderId="21" applyNumberFormat="0" applyAlignment="0" applyProtection="0">
      <alignment horizontal="right" vertical="center" indent="1"/>
    </xf>
    <xf numFmtId="178" fontId="59" fillId="31" borderId="19" applyNumberFormat="0" applyAlignment="0" applyProtection="0">
      <alignment horizontal="left" vertical="center" indent="1"/>
    </xf>
    <xf numFmtId="178" fontId="59" fillId="31" borderId="19" applyNumberFormat="0" applyAlignment="0" applyProtection="0">
      <alignment horizontal="left" vertical="center" indent="1"/>
    </xf>
    <xf numFmtId="0" fontId="60" fillId="36" borderId="2" applyNumberFormat="0" applyAlignment="0" applyProtection="0">
      <alignment horizontal="left" vertical="center" indent="1"/>
    </xf>
    <xf numFmtId="0" fontId="60" fillId="36" borderId="2" applyNumberFormat="0" applyAlignment="0" applyProtection="0">
      <alignment horizontal="left" vertical="center" indent="1"/>
    </xf>
    <xf numFmtId="0" fontId="59" fillId="32" borderId="2" applyNumberFormat="0" applyAlignment="0" applyProtection="0">
      <alignment horizontal="left" vertical="center" indent="1"/>
    </xf>
    <xf numFmtId="0" fontId="59" fillId="32" borderId="2" applyNumberFormat="0" applyAlignment="0" applyProtection="0">
      <alignment horizontal="left" vertical="center" indent="1"/>
    </xf>
    <xf numFmtId="178" fontId="60" fillId="30" borderId="21" applyNumberFormat="0" applyAlignment="0" applyProtection="0">
      <alignment horizontal="right" vertical="center" indent="1"/>
    </xf>
    <xf numFmtId="0" fontId="35" fillId="7" borderId="0" applyNumberFormat="0" applyBorder="0" applyAlignment="0" applyProtection="0"/>
    <xf numFmtId="0" fontId="42" fillId="25" borderId="17" applyNumberFormat="0" applyAlignment="0" applyProtection="0"/>
    <xf numFmtId="0" fontId="42" fillId="25" borderId="17" applyNumberFormat="0" applyAlignment="0" applyProtection="0"/>
    <xf numFmtId="0" fontId="3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6" fillId="0" borderId="8" applyNumberFormat="0" applyFill="0" applyAlignment="0" applyProtection="0"/>
    <xf numFmtId="0" fontId="37" fillId="0" borderId="10" applyNumberFormat="0" applyFill="0" applyAlignment="0" applyProtection="0"/>
    <xf numFmtId="0" fontId="38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5" applyNumberFormat="0" applyFill="0" applyAlignment="0" applyProtection="0"/>
    <xf numFmtId="37" fontId="8" fillId="41" borderId="0" applyNumberFormat="0" applyBorder="0" applyAlignment="0" applyProtection="0"/>
    <xf numFmtId="37" fontId="8" fillId="0" borderId="0"/>
    <xf numFmtId="3" fontId="57" fillId="0" borderId="14" applyProtection="0"/>
    <xf numFmtId="0" fontId="33" fillId="26" borderId="4" applyNumberFormat="0" applyAlignment="0" applyProtection="0"/>
    <xf numFmtId="0" fontId="40" fillId="0" borderId="0" applyNumberFormat="0" applyFill="0" applyBorder="0" applyAlignment="0" applyProtection="0"/>
    <xf numFmtId="0" fontId="79" fillId="0" borderId="0"/>
  </cellStyleXfs>
  <cellXfs count="386">
    <xf numFmtId="0" fontId="0" fillId="0" borderId="0" xfId="0"/>
    <xf numFmtId="0" fontId="5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8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15" xfId="0" applyBorder="1"/>
    <xf numFmtId="0" fontId="0" fillId="0" borderId="26" xfId="0" applyBorder="1"/>
    <xf numFmtId="0" fontId="0" fillId="0" borderId="27" xfId="0" applyBorder="1"/>
    <xf numFmtId="166" fontId="5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168" fontId="5" fillId="0" borderId="0" xfId="0" applyNumberFormat="1" applyFont="1"/>
    <xf numFmtId="168" fontId="6" fillId="0" borderId="0" xfId="0" applyNumberFormat="1" applyFont="1"/>
    <xf numFmtId="170" fontId="5" fillId="0" borderId="0" xfId="0" applyNumberFormat="1" applyFont="1"/>
    <xf numFmtId="166" fontId="5" fillId="0" borderId="0" xfId="0" applyNumberFormat="1" applyFont="1" applyAlignment="1">
      <alignment horizontal="right"/>
    </xf>
    <xf numFmtId="4" fontId="5" fillId="0" borderId="0" xfId="0" applyNumberFormat="1" applyFont="1"/>
    <xf numFmtId="0" fontId="1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8" fontId="5" fillId="0" borderId="0" xfId="0" applyNumberFormat="1" applyFont="1" applyAlignment="1">
      <alignment horizontal="left"/>
    </xf>
    <xf numFmtId="0" fontId="16" fillId="0" borderId="0" xfId="0" applyFont="1"/>
    <xf numFmtId="166" fontId="5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left"/>
    </xf>
    <xf numFmtId="166" fontId="16" fillId="0" borderId="0" xfId="0" applyNumberFormat="1" applyFont="1" applyAlignment="1">
      <alignment horizontal="left"/>
    </xf>
    <xf numFmtId="1" fontId="5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3" fontId="5" fillId="0" borderId="0" xfId="0" applyNumberFormat="1" applyFont="1"/>
    <xf numFmtId="0" fontId="6" fillId="0" borderId="0" xfId="0" applyFont="1" applyAlignment="1">
      <alignment horizontal="right"/>
    </xf>
    <xf numFmtId="0" fontId="12" fillId="0" borderId="0" xfId="0" applyFont="1"/>
    <xf numFmtId="0" fontId="17" fillId="0" borderId="0" xfId="0" applyFont="1"/>
    <xf numFmtId="3" fontId="5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center"/>
    </xf>
    <xf numFmtId="166" fontId="5" fillId="0" borderId="26" xfId="0" applyNumberFormat="1" applyFont="1" applyBorder="1" applyAlignment="1">
      <alignment horizontal="right"/>
    </xf>
    <xf numFmtId="167" fontId="5" fillId="0" borderId="0" xfId="0" applyNumberFormat="1" applyFont="1"/>
    <xf numFmtId="167" fontId="6" fillId="0" borderId="0" xfId="0" applyNumberFormat="1" applyFont="1"/>
    <xf numFmtId="0" fontId="6" fillId="0" borderId="0" xfId="0" quotePrefix="1" applyFont="1"/>
    <xf numFmtId="0" fontId="7" fillId="0" borderId="0" xfId="118" applyAlignment="1" applyProtection="1"/>
    <xf numFmtId="166" fontId="5" fillId="0" borderId="18" xfId="0" applyNumberFormat="1" applyFont="1" applyBorder="1" applyAlignment="1">
      <alignment horizontal="right"/>
    </xf>
    <xf numFmtId="168" fontId="5" fillId="0" borderId="7" xfId="0" applyNumberFormat="1" applyFont="1" applyBorder="1"/>
    <xf numFmtId="166" fontId="5" fillId="0" borderId="7" xfId="0" applyNumberFormat="1" applyFont="1" applyBorder="1"/>
    <xf numFmtId="0" fontId="0" fillId="0" borderId="28" xfId="0" applyBorder="1"/>
    <xf numFmtId="0" fontId="0" fillId="31" borderId="0" xfId="0" applyFill="1"/>
    <xf numFmtId="0" fontId="0" fillId="42" borderId="0" xfId="0" applyFill="1"/>
    <xf numFmtId="0" fontId="5" fillId="31" borderId="0" xfId="0" applyFont="1" applyFill="1"/>
    <xf numFmtId="0" fontId="0" fillId="27" borderId="0" xfId="0" applyFill="1"/>
    <xf numFmtId="0" fontId="5" fillId="27" borderId="0" xfId="0" applyFont="1" applyFill="1"/>
    <xf numFmtId="0" fontId="4" fillId="0" borderId="0" xfId="0" applyFont="1" applyAlignment="1">
      <alignment horizontal="left"/>
    </xf>
    <xf numFmtId="0" fontId="18" fillId="0" borderId="0" xfId="0" applyFont="1"/>
    <xf numFmtId="0" fontId="6" fillId="0" borderId="29" xfId="0" applyFont="1" applyBorder="1" applyAlignment="1">
      <alignment horizontal="center"/>
    </xf>
    <xf numFmtId="0" fontId="0" fillId="0" borderId="30" xfId="0" applyBorder="1"/>
    <xf numFmtId="0" fontId="19" fillId="0" borderId="0" xfId="0" applyFont="1" applyAlignment="1">
      <alignment horizontal="center"/>
    </xf>
    <xf numFmtId="0" fontId="0" fillId="0" borderId="0" xfId="0" applyAlignment="1">
      <alignment vertical="top" wrapText="1"/>
    </xf>
    <xf numFmtId="168" fontId="5" fillId="0" borderId="0" xfId="0" applyNumberFormat="1" applyFont="1" applyAlignment="1">
      <alignment horizontal="center"/>
    </xf>
    <xf numFmtId="170" fontId="5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70" fontId="0" fillId="0" borderId="0" xfId="0" applyNumberFormat="1"/>
    <xf numFmtId="168" fontId="0" fillId="0" borderId="0" xfId="0" applyNumberFormat="1"/>
    <xf numFmtId="167" fontId="0" fillId="0" borderId="0" xfId="0" applyNumberFormat="1"/>
    <xf numFmtId="167" fontId="1" fillId="0" borderId="0" xfId="0" applyNumberFormat="1" applyFont="1"/>
    <xf numFmtId="0" fontId="0" fillId="0" borderId="32" xfId="0" applyBorder="1"/>
    <xf numFmtId="165" fontId="0" fillId="0" borderId="0" xfId="0" applyNumberForma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1" fillId="0" borderId="0" xfId="118" applyFont="1" applyFill="1" applyBorder="1" applyAlignment="1" applyProtection="1">
      <alignment horizontal="left"/>
    </xf>
    <xf numFmtId="0" fontId="6" fillId="0" borderId="0" xfId="0" applyFont="1" applyAlignment="1">
      <alignment horizontal="left"/>
    </xf>
    <xf numFmtId="0" fontId="7" fillId="0" borderId="0" xfId="118" applyFill="1" applyBorder="1" applyAlignment="1" applyProtection="1">
      <alignment horizontal="left"/>
    </xf>
    <xf numFmtId="0" fontId="0" fillId="24" borderId="0" xfId="0" applyFill="1"/>
    <xf numFmtId="168" fontId="5" fillId="41" borderId="15" xfId="0" applyNumberFormat="1" applyFont="1" applyFill="1" applyBorder="1" applyProtection="1">
      <protection locked="0"/>
    </xf>
    <xf numFmtId="0" fontId="11" fillId="0" borderId="0" xfId="0" applyFont="1"/>
    <xf numFmtId="0" fontId="5" fillId="24" borderId="0" xfId="0" applyFont="1" applyFill="1" applyAlignment="1">
      <alignment horizontal="left"/>
    </xf>
    <xf numFmtId="0" fontId="0" fillId="0" borderId="39" xfId="0" applyBorder="1"/>
    <xf numFmtId="0" fontId="5" fillId="0" borderId="39" xfId="0" applyFont="1" applyBorder="1"/>
    <xf numFmtId="0" fontId="5" fillId="0" borderId="37" xfId="0" applyFont="1" applyBorder="1"/>
    <xf numFmtId="166" fontId="5" fillId="0" borderId="37" xfId="0" applyNumberFormat="1" applyFont="1" applyBorder="1"/>
    <xf numFmtId="166" fontId="5" fillId="0" borderId="38" xfId="0" applyNumberFormat="1" applyFont="1" applyBorder="1" applyAlignment="1">
      <alignment horizontal="right"/>
    </xf>
    <xf numFmtId="166" fontId="5" fillId="0" borderId="38" xfId="0" applyNumberFormat="1" applyFont="1" applyBorder="1"/>
    <xf numFmtId="0" fontId="0" fillId="0" borderId="37" xfId="0" applyBorder="1"/>
    <xf numFmtId="0" fontId="0" fillId="0" borderId="38" xfId="0" applyBorder="1"/>
    <xf numFmtId="0" fontId="0" fillId="0" borderId="40" xfId="0" applyBorder="1"/>
    <xf numFmtId="0" fontId="5" fillId="24" borderId="0" xfId="0" applyFont="1" applyFill="1"/>
    <xf numFmtId="170" fontId="0" fillId="24" borderId="0" xfId="0" applyNumberFormat="1" applyFill="1"/>
    <xf numFmtId="0" fontId="5" fillId="41" borderId="15" xfId="0" applyFont="1" applyFill="1" applyBorder="1" applyAlignment="1" applyProtection="1">
      <alignment horizontal="right"/>
      <protection locked="0"/>
    </xf>
    <xf numFmtId="0" fontId="9" fillId="0" borderId="0" xfId="0" applyFont="1"/>
    <xf numFmtId="0" fontId="20" fillId="0" borderId="0" xfId="0" applyFont="1" applyAlignment="1">
      <alignment horizontal="center"/>
    </xf>
    <xf numFmtId="0" fontId="13" fillId="0" borderId="0" xfId="0" applyFont="1"/>
    <xf numFmtId="0" fontId="5" fillId="0" borderId="0" xfId="0" applyFont="1" applyAlignment="1">
      <alignment horizontal="left" indent="1"/>
    </xf>
    <xf numFmtId="168" fontId="18" fillId="0" borderId="0" xfId="0" applyNumberFormat="1" applyFont="1" applyAlignment="1">
      <alignment horizontal="left"/>
    </xf>
    <xf numFmtId="168" fontId="18" fillId="0" borderId="0" xfId="0" applyNumberFormat="1" applyFont="1"/>
    <xf numFmtId="0" fontId="20" fillId="24" borderId="0" xfId="0" applyFont="1" applyFill="1" applyAlignment="1">
      <alignment horizontal="center"/>
    </xf>
    <xf numFmtId="0" fontId="20" fillId="24" borderId="0" xfId="0" applyFont="1" applyFill="1" applyAlignment="1">
      <alignment horizontal="right"/>
    </xf>
    <xf numFmtId="0" fontId="18" fillId="24" borderId="0" xfId="0" applyFont="1" applyFill="1"/>
    <xf numFmtId="0" fontId="21" fillId="24" borderId="0" xfId="0" applyFont="1" applyFill="1" applyAlignment="1">
      <alignment horizontal="center"/>
    </xf>
    <xf numFmtId="166" fontId="5" fillId="41" borderId="15" xfId="0" applyNumberFormat="1" applyFont="1" applyFill="1" applyBorder="1" applyProtection="1">
      <protection locked="0"/>
    </xf>
    <xf numFmtId="0" fontId="14" fillId="0" borderId="0" xfId="0" applyFont="1"/>
    <xf numFmtId="0" fontId="3" fillId="24" borderId="31" xfId="0" applyFont="1" applyFill="1" applyBorder="1" applyAlignment="1">
      <alignment horizontal="left"/>
    </xf>
    <xf numFmtId="0" fontId="0" fillId="24" borderId="31" xfId="0" applyFill="1" applyBorder="1"/>
    <xf numFmtId="0" fontId="0" fillId="24" borderId="41" xfId="0" applyFill="1" applyBorder="1"/>
    <xf numFmtId="0" fontId="0" fillId="0" borderId="29" xfId="0" applyBorder="1"/>
    <xf numFmtId="0" fontId="0" fillId="0" borderId="33" xfId="0" applyBorder="1"/>
    <xf numFmtId="0" fontId="0" fillId="0" borderId="34" xfId="0" applyBorder="1"/>
    <xf numFmtId="0" fontId="0" fillId="0" borderId="36" xfId="0" applyBorder="1"/>
    <xf numFmtId="0" fontId="1" fillId="0" borderId="0" xfId="0" applyFont="1"/>
    <xf numFmtId="0" fontId="1" fillId="0" borderId="0" xfId="118" applyFont="1" applyFill="1" applyAlignment="1" applyProtection="1"/>
    <xf numFmtId="0" fontId="7" fillId="0" borderId="0" xfId="118" applyFill="1" applyAlignment="1" applyProtection="1"/>
    <xf numFmtId="3" fontId="0" fillId="0" borderId="0" xfId="0" applyNumberFormat="1"/>
    <xf numFmtId="166" fontId="0" fillId="0" borderId="0" xfId="0" applyNumberFormat="1"/>
    <xf numFmtId="166" fontId="6" fillId="0" borderId="0" xfId="0" applyNumberFormat="1" applyFont="1"/>
    <xf numFmtId="3" fontId="8" fillId="0" borderId="0" xfId="0" applyNumberFormat="1" applyFont="1"/>
    <xf numFmtId="0" fontId="6" fillId="0" borderId="29" xfId="0" applyFont="1" applyBorder="1"/>
    <xf numFmtId="0" fontId="19" fillId="0" borderId="0" xfId="0" applyFont="1" applyAlignment="1">
      <alignment horizontal="right"/>
    </xf>
    <xf numFmtId="3" fontId="5" fillId="0" borderId="0" xfId="0" applyNumberFormat="1" applyFont="1" applyAlignment="1">
      <alignment horizontal="center"/>
    </xf>
    <xf numFmtId="168" fontId="5" fillId="0" borderId="0" xfId="0" applyNumberFormat="1" applyFont="1" applyAlignment="1">
      <alignment horizontal="right"/>
    </xf>
    <xf numFmtId="0" fontId="15" fillId="0" borderId="0" xfId="0" applyFont="1"/>
    <xf numFmtId="0" fontId="0" fillId="0" borderId="0" xfId="0" applyAlignment="1">
      <alignment horizontal="left" indent="1"/>
    </xf>
    <xf numFmtId="166" fontId="11" fillId="0" borderId="0" xfId="0" applyNumberFormat="1" applyFont="1" applyAlignment="1">
      <alignment horizontal="left"/>
    </xf>
    <xf numFmtId="166" fontId="11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center"/>
    </xf>
    <xf numFmtId="0" fontId="1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6" fillId="0" borderId="0" xfId="118" applyFont="1" applyFill="1" applyBorder="1" applyAlignment="1" applyProtection="1">
      <alignment horizontal="left"/>
    </xf>
    <xf numFmtId="49" fontId="0" fillId="0" borderId="42" xfId="0" applyNumberFormat="1" applyBorder="1" applyAlignment="1">
      <alignment vertical="center"/>
    </xf>
    <xf numFmtId="49" fontId="0" fillId="0" borderId="31" xfId="0" applyNumberForma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0" fontId="5" fillId="43" borderId="0" xfId="0" applyFont="1" applyFill="1"/>
    <xf numFmtId="0" fontId="0" fillId="0" borderId="44" xfId="0" applyBorder="1" applyAlignment="1">
      <alignment vertical="center"/>
    </xf>
    <xf numFmtId="0" fontId="0" fillId="0" borderId="0" xfId="0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18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left" vertical="center"/>
    </xf>
    <xf numFmtId="49" fontId="19" fillId="0" borderId="0" xfId="0" applyNumberFormat="1" applyFont="1" applyAlignment="1">
      <alignment horizontal="right" vertical="center"/>
    </xf>
    <xf numFmtId="49" fontId="19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6" fillId="0" borderId="32" xfId="0" applyFont="1" applyBorder="1"/>
    <xf numFmtId="0" fontId="5" fillId="0" borderId="0" xfId="0" applyFont="1" applyAlignment="1">
      <alignment horizontal="left" vertical="center"/>
    </xf>
    <xf numFmtId="170" fontId="6" fillId="24" borderId="0" xfId="0" applyNumberFormat="1" applyFont="1" applyFill="1" applyAlignment="1">
      <alignment horizontal="center"/>
    </xf>
    <xf numFmtId="0" fontId="5" fillId="24" borderId="28" xfId="0" applyFont="1" applyFill="1" applyBorder="1"/>
    <xf numFmtId="0" fontId="24" fillId="24" borderId="29" xfId="0" applyFont="1" applyFill="1" applyBorder="1" applyAlignment="1">
      <alignment vertical="center"/>
    </xf>
    <xf numFmtId="170" fontId="5" fillId="24" borderId="30" xfId="0" applyNumberFormat="1" applyFont="1" applyFill="1" applyBorder="1"/>
    <xf numFmtId="170" fontId="6" fillId="24" borderId="33" xfId="0" applyNumberFormat="1" applyFont="1" applyFill="1" applyBorder="1" applyAlignment="1">
      <alignment horizontal="center"/>
    </xf>
    <xf numFmtId="170" fontId="6" fillId="24" borderId="34" xfId="0" applyNumberFormat="1" applyFont="1" applyFill="1" applyBorder="1" applyAlignment="1">
      <alignment horizontal="center"/>
    </xf>
    <xf numFmtId="170" fontId="6" fillId="24" borderId="35" xfId="0" applyNumberFormat="1" applyFont="1" applyFill="1" applyBorder="1" applyAlignment="1">
      <alignment horizontal="center"/>
    </xf>
    <xf numFmtId="170" fontId="6" fillId="24" borderId="32" xfId="0" applyNumberFormat="1" applyFont="1" applyFill="1" applyBorder="1" applyAlignment="1">
      <alignment horizontal="center"/>
    </xf>
    <xf numFmtId="170" fontId="6" fillId="24" borderId="36" xfId="0" applyNumberFormat="1" applyFont="1" applyFill="1" applyBorder="1" applyAlignment="1">
      <alignment horizontal="center"/>
    </xf>
    <xf numFmtId="0" fontId="24" fillId="24" borderId="0" xfId="0" applyFont="1" applyFill="1" applyAlignment="1">
      <alignment vertical="center"/>
    </xf>
    <xf numFmtId="0" fontId="5" fillId="45" borderId="28" xfId="0" applyFont="1" applyFill="1" applyBorder="1"/>
    <xf numFmtId="0" fontId="24" fillId="45" borderId="29" xfId="0" applyFont="1" applyFill="1" applyBorder="1" applyAlignment="1">
      <alignment vertical="center"/>
    </xf>
    <xf numFmtId="170" fontId="5" fillId="45" borderId="30" xfId="0" applyNumberFormat="1" applyFont="1" applyFill="1" applyBorder="1"/>
    <xf numFmtId="170" fontId="6" fillId="45" borderId="33" xfId="0" applyNumberFormat="1" applyFont="1" applyFill="1" applyBorder="1" applyAlignment="1">
      <alignment horizontal="center"/>
    </xf>
    <xf numFmtId="170" fontId="6" fillId="45" borderId="0" xfId="0" applyNumberFormat="1" applyFont="1" applyFill="1" applyAlignment="1">
      <alignment horizontal="center"/>
    </xf>
    <xf numFmtId="170" fontId="6" fillId="45" borderId="34" xfId="0" applyNumberFormat="1" applyFont="1" applyFill="1" applyBorder="1" applyAlignment="1">
      <alignment horizontal="center"/>
    </xf>
    <xf numFmtId="170" fontId="6" fillId="45" borderId="35" xfId="0" applyNumberFormat="1" applyFont="1" applyFill="1" applyBorder="1" applyAlignment="1">
      <alignment horizontal="center"/>
    </xf>
    <xf numFmtId="170" fontId="6" fillId="45" borderId="32" xfId="0" applyNumberFormat="1" applyFont="1" applyFill="1" applyBorder="1" applyAlignment="1">
      <alignment horizontal="center"/>
    </xf>
    <xf numFmtId="170" fontId="6" fillId="45" borderId="36" xfId="0" applyNumberFormat="1" applyFont="1" applyFill="1" applyBorder="1" applyAlignment="1">
      <alignment horizontal="center"/>
    </xf>
    <xf numFmtId="170" fontId="5" fillId="45" borderId="28" xfId="0" applyNumberFormat="1" applyFont="1" applyFill="1" applyBorder="1"/>
    <xf numFmtId="0" fontId="5" fillId="45" borderId="30" xfId="0" applyFont="1" applyFill="1" applyBorder="1"/>
    <xf numFmtId="0" fontId="19" fillId="0" borderId="0" xfId="0" applyFont="1"/>
    <xf numFmtId="0" fontId="23" fillId="0" borderId="0" xfId="0" applyFont="1"/>
    <xf numFmtId="0" fontId="23" fillId="41" borderId="15" xfId="0" applyFont="1" applyFill="1" applyBorder="1" applyAlignment="1" applyProtection="1">
      <alignment horizontal="right"/>
      <protection locked="0"/>
    </xf>
    <xf numFmtId="0" fontId="18" fillId="43" borderId="0" xfId="0" applyFont="1" applyFill="1"/>
    <xf numFmtId="0" fontId="18" fillId="41" borderId="15" xfId="0" applyFont="1" applyFill="1" applyBorder="1" applyAlignment="1" applyProtection="1">
      <alignment horizontal="right"/>
      <protection locked="0"/>
    </xf>
    <xf numFmtId="166" fontId="19" fillId="0" borderId="0" xfId="0" applyNumberFormat="1" applyFont="1" applyAlignment="1">
      <alignment horizontal="left"/>
    </xf>
    <xf numFmtId="0" fontId="0" fillId="0" borderId="35" xfId="0" applyBorder="1"/>
    <xf numFmtId="0" fontId="18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170" fontId="5" fillId="0" borderId="0" xfId="0" applyNumberFormat="1" applyFont="1" applyAlignment="1">
      <alignment horizontal="center"/>
    </xf>
    <xf numFmtId="168" fontId="5" fillId="0" borderId="29" xfId="0" applyNumberFormat="1" applyFont="1" applyBorder="1"/>
    <xf numFmtId="0" fontId="6" fillId="0" borderId="34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0" xfId="0" applyFont="1" applyAlignment="1">
      <alignment horizontal="center"/>
    </xf>
    <xf numFmtId="170" fontId="14" fillId="0" borderId="34" xfId="0" applyNumberFormat="1" applyFont="1" applyBorder="1" applyAlignment="1">
      <alignment horizontal="center"/>
    </xf>
    <xf numFmtId="170" fontId="5" fillId="0" borderId="33" xfId="0" applyNumberFormat="1" applyFont="1" applyBorder="1" applyAlignment="1">
      <alignment horizontal="center"/>
    </xf>
    <xf numFmtId="170" fontId="5" fillId="0" borderId="34" xfId="0" applyNumberFormat="1" applyFont="1" applyBorder="1" applyAlignment="1">
      <alignment horizontal="center"/>
    </xf>
    <xf numFmtId="168" fontId="5" fillId="24" borderId="0" xfId="0" applyNumberFormat="1" applyFont="1" applyFill="1" applyAlignment="1">
      <alignment horizontal="left"/>
    </xf>
    <xf numFmtId="166" fontId="5" fillId="24" borderId="0" xfId="0" applyNumberFormat="1" applyFont="1" applyFill="1" applyAlignment="1">
      <alignment horizontal="left"/>
    </xf>
    <xf numFmtId="0" fontId="5" fillId="41" borderId="0" xfId="0" applyFont="1" applyFill="1" applyAlignment="1" applyProtection="1">
      <alignment horizontal="right"/>
      <protection locked="0"/>
    </xf>
    <xf numFmtId="0" fontId="5" fillId="0" borderId="26" xfId="0" applyFont="1" applyBorder="1"/>
    <xf numFmtId="0" fontId="19" fillId="0" borderId="0" xfId="0" applyFont="1" applyAlignment="1">
      <alignment horizontal="left"/>
    </xf>
    <xf numFmtId="0" fontId="5" fillId="43" borderId="15" xfId="0" applyFont="1" applyFill="1" applyBorder="1" applyAlignment="1" applyProtection="1">
      <alignment horizontal="right"/>
      <protection locked="0"/>
    </xf>
    <xf numFmtId="166" fontId="19" fillId="0" borderId="0" xfId="0" applyNumberFormat="1" applyFont="1" applyAlignment="1">
      <alignment horizontal="right"/>
    </xf>
    <xf numFmtId="0" fontId="5" fillId="0" borderId="37" xfId="0" applyFont="1" applyBorder="1" applyAlignment="1">
      <alignment horizontal="right"/>
    </xf>
    <xf numFmtId="3" fontId="19" fillId="0" borderId="37" xfId="0" applyNumberFormat="1" applyFont="1" applyBorder="1"/>
    <xf numFmtId="0" fontId="5" fillId="0" borderId="38" xfId="0" applyFont="1" applyBorder="1" applyAlignment="1">
      <alignment horizontal="right"/>
    </xf>
    <xf numFmtId="3" fontId="5" fillId="0" borderId="37" xfId="0" applyNumberFormat="1" applyFont="1" applyBorder="1"/>
    <xf numFmtId="0" fontId="10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right"/>
    </xf>
    <xf numFmtId="168" fontId="5" fillId="0" borderId="39" xfId="0" applyNumberFormat="1" applyFont="1" applyBorder="1"/>
    <xf numFmtId="0" fontId="28" fillId="0" borderId="0" xfId="0" applyFont="1"/>
    <xf numFmtId="0" fontId="5" fillId="0" borderId="40" xfId="0" applyFont="1" applyBorder="1"/>
    <xf numFmtId="4" fontId="5" fillId="0" borderId="37" xfId="0" applyNumberFormat="1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166" fontId="16" fillId="0" borderId="38" xfId="0" applyNumberFormat="1" applyFont="1" applyBorder="1" applyAlignment="1">
      <alignment horizontal="left"/>
    </xf>
    <xf numFmtId="4" fontId="5" fillId="0" borderId="39" xfId="0" applyNumberFormat="1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39" xfId="0" applyFont="1" applyBorder="1" applyAlignment="1">
      <alignment horizontal="right"/>
    </xf>
    <xf numFmtId="166" fontId="16" fillId="0" borderId="40" xfId="0" applyNumberFormat="1" applyFont="1" applyBorder="1" applyAlignment="1">
      <alignment horizontal="left"/>
    </xf>
    <xf numFmtId="166" fontId="5" fillId="0" borderId="37" xfId="0" applyNumberFormat="1" applyFont="1" applyBorder="1" applyAlignment="1">
      <alignment horizontal="left"/>
    </xf>
    <xf numFmtId="166" fontId="8" fillId="0" borderId="38" xfId="0" applyNumberFormat="1" applyFont="1" applyBorder="1" applyAlignment="1">
      <alignment horizontal="left"/>
    </xf>
    <xf numFmtId="168" fontId="5" fillId="0" borderId="37" xfId="0" applyNumberFormat="1" applyFont="1" applyBorder="1" applyAlignment="1">
      <alignment horizontal="left"/>
    </xf>
    <xf numFmtId="166" fontId="5" fillId="0" borderId="38" xfId="0" applyNumberFormat="1" applyFont="1" applyBorder="1" applyAlignment="1">
      <alignment horizontal="left"/>
    </xf>
    <xf numFmtId="168" fontId="5" fillId="0" borderId="37" xfId="0" applyNumberFormat="1" applyFont="1" applyBorder="1"/>
    <xf numFmtId="168" fontId="5" fillId="0" borderId="39" xfId="0" applyNumberFormat="1" applyFont="1" applyBorder="1" applyAlignment="1">
      <alignment horizontal="left"/>
    </xf>
    <xf numFmtId="166" fontId="5" fillId="0" borderId="44" xfId="0" applyNumberFormat="1" applyFont="1" applyBorder="1"/>
    <xf numFmtId="166" fontId="5" fillId="0" borderId="40" xfId="0" applyNumberFormat="1" applyFont="1" applyBorder="1" applyAlignment="1">
      <alignment horizontal="left"/>
    </xf>
    <xf numFmtId="166" fontId="5" fillId="0" borderId="39" xfId="0" applyNumberFormat="1" applyFont="1" applyBorder="1" applyAlignment="1">
      <alignment horizontal="left"/>
    </xf>
    <xf numFmtId="0" fontId="23" fillId="0" borderId="38" xfId="0" applyFont="1" applyBorder="1"/>
    <xf numFmtId="0" fontId="5" fillId="41" borderId="27" xfId="0" applyFont="1" applyFill="1" applyBorder="1" applyAlignment="1" applyProtection="1">
      <alignment horizontal="right"/>
      <protection locked="0"/>
    </xf>
    <xf numFmtId="166" fontId="23" fillId="0" borderId="38" xfId="0" applyNumberFormat="1" applyFont="1" applyBorder="1" applyAlignment="1">
      <alignment horizontal="left"/>
    </xf>
    <xf numFmtId="170" fontId="14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3" fontId="18" fillId="0" borderId="0" xfId="0" applyNumberFormat="1" applyFont="1" applyAlignment="1">
      <alignment horizontal="right"/>
    </xf>
    <xf numFmtId="49" fontId="5" fillId="46" borderId="15" xfId="0" applyNumberFormat="1" applyFont="1" applyFill="1" applyBorder="1" applyAlignment="1" applyProtection="1">
      <alignment vertical="center"/>
      <protection locked="0"/>
    </xf>
    <xf numFmtId="165" fontId="0" fillId="46" borderId="15" xfId="0" applyNumberFormat="1" applyFill="1" applyBorder="1" applyAlignment="1" applyProtection="1">
      <alignment vertical="center"/>
      <protection locked="0"/>
    </xf>
    <xf numFmtId="3" fontId="5" fillId="46" borderId="15" xfId="0" applyNumberFormat="1" applyFont="1" applyFill="1" applyBorder="1" applyProtection="1">
      <protection locked="0"/>
    </xf>
    <xf numFmtId="168" fontId="5" fillId="46" borderId="15" xfId="0" applyNumberFormat="1" applyFont="1" applyFill="1" applyBorder="1" applyProtection="1">
      <protection locked="0"/>
    </xf>
    <xf numFmtId="168" fontId="0" fillId="46" borderId="15" xfId="0" applyNumberFormat="1" applyFill="1" applyBorder="1" applyProtection="1">
      <protection locked="0"/>
    </xf>
    <xf numFmtId="166" fontId="5" fillId="46" borderId="15" xfId="0" applyNumberFormat="1" applyFont="1" applyFill="1" applyBorder="1" applyProtection="1">
      <protection locked="0"/>
    </xf>
    <xf numFmtId="0" fontId="5" fillId="46" borderId="15" xfId="0" applyFont="1" applyFill="1" applyBorder="1" applyAlignment="1" applyProtection="1">
      <alignment horizontal="right"/>
      <protection locked="0"/>
    </xf>
    <xf numFmtId="170" fontId="5" fillId="46" borderId="15" xfId="0" applyNumberFormat="1" applyFont="1" applyFill="1" applyBorder="1" applyProtection="1">
      <protection locked="0"/>
    </xf>
    <xf numFmtId="3" fontId="0" fillId="46" borderId="15" xfId="0" applyNumberFormat="1" applyFill="1" applyBorder="1" applyProtection="1">
      <protection locked="0"/>
    </xf>
    <xf numFmtId="0" fontId="0" fillId="46" borderId="0" xfId="0" applyFill="1"/>
    <xf numFmtId="0" fontId="0" fillId="0" borderId="0" xfId="0" applyProtection="1">
      <protection locked="0"/>
    </xf>
    <xf numFmtId="1" fontId="6" fillId="0" borderId="0" xfId="0" applyNumberFormat="1" applyFont="1" applyAlignment="1">
      <alignment horizontal="center" vertical="center"/>
    </xf>
    <xf numFmtId="0" fontId="5" fillId="0" borderId="0" xfId="118" applyFont="1" applyFill="1" applyBorder="1" applyAlignment="1" applyProtection="1">
      <alignment horizontal="left"/>
    </xf>
    <xf numFmtId="168" fontId="5" fillId="0" borderId="0" xfId="243" quotePrefix="1" applyNumberFormat="1"/>
    <xf numFmtId="0" fontId="11" fillId="0" borderId="0" xfId="0" applyFont="1" applyAlignment="1">
      <alignment horizontal="center"/>
    </xf>
    <xf numFmtId="1" fontId="6" fillId="0" borderId="0" xfId="0" applyNumberFormat="1" applyFont="1"/>
    <xf numFmtId="1" fontId="1" fillId="0" borderId="0" xfId="0" applyNumberFormat="1" applyFont="1"/>
    <xf numFmtId="166" fontId="1" fillId="0" borderId="32" xfId="0" applyNumberFormat="1" applyFont="1" applyBorder="1"/>
    <xf numFmtId="0" fontId="5" fillId="0" borderId="0" xfId="0" applyFont="1" applyProtection="1">
      <protection locked="0"/>
    </xf>
    <xf numFmtId="0" fontId="5" fillId="47" borderId="29" xfId="0" applyFont="1" applyFill="1" applyBorder="1"/>
    <xf numFmtId="0" fontId="5" fillId="47" borderId="32" xfId="0" applyFont="1" applyFill="1" applyBorder="1"/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170" fontId="0" fillId="0" borderId="0" xfId="0" applyNumberForma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170" fontId="5" fillId="0" borderId="0" xfId="0" applyNumberFormat="1" applyFont="1" applyAlignment="1">
      <alignment horizontal="left" vertical="center"/>
    </xf>
    <xf numFmtId="0" fontId="77" fillId="0" borderId="0" xfId="0" applyFont="1" applyAlignment="1">
      <alignment horizontal="left" vertical="center"/>
    </xf>
    <xf numFmtId="170" fontId="4" fillId="45" borderId="28" xfId="0" applyNumberFormat="1" applyFont="1" applyFill="1" applyBorder="1" applyAlignment="1">
      <alignment horizontal="center"/>
    </xf>
    <xf numFmtId="170" fontId="4" fillId="45" borderId="29" xfId="0" applyNumberFormat="1" applyFont="1" applyFill="1" applyBorder="1" applyAlignment="1">
      <alignment horizontal="center"/>
    </xf>
    <xf numFmtId="170" fontId="4" fillId="45" borderId="30" xfId="0" applyNumberFormat="1" applyFont="1" applyFill="1" applyBorder="1" applyAlignment="1">
      <alignment horizontal="center"/>
    </xf>
    <xf numFmtId="170" fontId="4" fillId="45" borderId="35" xfId="0" applyNumberFormat="1" applyFont="1" applyFill="1" applyBorder="1" applyAlignment="1">
      <alignment horizontal="center"/>
    </xf>
    <xf numFmtId="170" fontId="4" fillId="45" borderId="32" xfId="0" applyNumberFormat="1" applyFont="1" applyFill="1" applyBorder="1" applyAlignment="1">
      <alignment horizontal="center"/>
    </xf>
    <xf numFmtId="170" fontId="4" fillId="45" borderId="36" xfId="0" applyNumberFormat="1" applyFont="1" applyFill="1" applyBorder="1" applyAlignment="1">
      <alignment horizontal="center"/>
    </xf>
    <xf numFmtId="0" fontId="77" fillId="0" borderId="0" xfId="0" applyFont="1" applyAlignment="1">
      <alignment horizontal="right"/>
    </xf>
    <xf numFmtId="0" fontId="77" fillId="0" borderId="0" xfId="0" applyFont="1"/>
    <xf numFmtId="168" fontId="77" fillId="46" borderId="27" xfId="0" applyNumberFormat="1" applyFont="1" applyFill="1" applyBorder="1" applyProtection="1">
      <protection locked="0"/>
    </xf>
    <xf numFmtId="170" fontId="77" fillId="44" borderId="27" xfId="0" applyNumberFormat="1" applyFont="1" applyFill="1" applyBorder="1" applyProtection="1">
      <protection locked="0"/>
    </xf>
    <xf numFmtId="170" fontId="77" fillId="41" borderId="27" xfId="0" applyNumberFormat="1" applyFont="1" applyFill="1" applyBorder="1" applyAlignment="1" applyProtection="1">
      <alignment horizontal="right"/>
      <protection locked="0"/>
    </xf>
    <xf numFmtId="170" fontId="77" fillId="41" borderId="27" xfId="0" applyNumberFormat="1" applyFont="1" applyFill="1" applyBorder="1" applyProtection="1">
      <protection locked="0"/>
    </xf>
    <xf numFmtId="170" fontId="77" fillId="44" borderId="27" xfId="0" applyNumberFormat="1" applyFont="1" applyFill="1" applyBorder="1" applyAlignment="1" applyProtection="1">
      <alignment horizontal="right"/>
      <protection locked="0"/>
    </xf>
    <xf numFmtId="168" fontId="77" fillId="46" borderId="15" xfId="0" applyNumberFormat="1" applyFont="1" applyFill="1" applyBorder="1" applyProtection="1">
      <protection locked="0"/>
    </xf>
    <xf numFmtId="170" fontId="77" fillId="44" borderId="15" xfId="0" applyNumberFormat="1" applyFont="1" applyFill="1" applyBorder="1" applyProtection="1">
      <protection locked="0"/>
    </xf>
    <xf numFmtId="170" fontId="77" fillId="41" borderId="15" xfId="0" applyNumberFormat="1" applyFont="1" applyFill="1" applyBorder="1" applyAlignment="1" applyProtection="1">
      <alignment horizontal="right"/>
      <protection locked="0"/>
    </xf>
    <xf numFmtId="170" fontId="77" fillId="41" borderId="15" xfId="0" applyNumberFormat="1" applyFont="1" applyFill="1" applyBorder="1" applyProtection="1">
      <protection locked="0"/>
    </xf>
    <xf numFmtId="170" fontId="77" fillId="44" borderId="15" xfId="0" applyNumberFormat="1" applyFont="1" applyFill="1" applyBorder="1" applyAlignment="1" applyProtection="1">
      <alignment horizontal="right"/>
      <protection locked="0"/>
    </xf>
    <xf numFmtId="168" fontId="77" fillId="46" borderId="45" xfId="0" applyNumberFormat="1" applyFont="1" applyFill="1" applyBorder="1" applyProtection="1">
      <protection locked="0"/>
    </xf>
    <xf numFmtId="170" fontId="77" fillId="44" borderId="45" xfId="0" applyNumberFormat="1" applyFont="1" applyFill="1" applyBorder="1" applyProtection="1">
      <protection locked="0"/>
    </xf>
    <xf numFmtId="170" fontId="77" fillId="41" borderId="45" xfId="0" applyNumberFormat="1" applyFont="1" applyFill="1" applyBorder="1" applyAlignment="1" applyProtection="1">
      <alignment horizontal="right"/>
      <protection locked="0"/>
    </xf>
    <xf numFmtId="170" fontId="77" fillId="41" borderId="45" xfId="0" applyNumberFormat="1" applyFont="1" applyFill="1" applyBorder="1" applyProtection="1">
      <protection locked="0"/>
    </xf>
    <xf numFmtId="170" fontId="4" fillId="24" borderId="28" xfId="0" applyNumberFormat="1" applyFont="1" applyFill="1" applyBorder="1" applyAlignment="1">
      <alignment horizontal="center"/>
    </xf>
    <xf numFmtId="170" fontId="4" fillId="24" borderId="29" xfId="0" applyNumberFormat="1" applyFont="1" applyFill="1" applyBorder="1" applyAlignment="1">
      <alignment horizontal="center"/>
    </xf>
    <xf numFmtId="170" fontId="4" fillId="24" borderId="30" xfId="0" applyNumberFormat="1" applyFont="1" applyFill="1" applyBorder="1" applyAlignment="1">
      <alignment horizontal="center"/>
    </xf>
    <xf numFmtId="170" fontId="4" fillId="45" borderId="33" xfId="0" applyNumberFormat="1" applyFont="1" applyFill="1" applyBorder="1" applyAlignment="1">
      <alignment horizontal="center"/>
    </xf>
    <xf numFmtId="170" fontId="4" fillId="45" borderId="0" xfId="0" applyNumberFormat="1" applyFont="1" applyFill="1" applyAlignment="1">
      <alignment horizontal="center"/>
    </xf>
    <xf numFmtId="170" fontId="4" fillId="45" borderId="34" xfId="0" applyNumberFormat="1" applyFont="1" applyFill="1" applyBorder="1" applyAlignment="1">
      <alignment horizontal="center"/>
    </xf>
    <xf numFmtId="170" fontId="4" fillId="24" borderId="35" xfId="0" applyNumberFormat="1" applyFont="1" applyFill="1" applyBorder="1" applyAlignment="1">
      <alignment horizontal="center"/>
    </xf>
    <xf numFmtId="170" fontId="4" fillId="24" borderId="32" xfId="0" applyNumberFormat="1" applyFont="1" applyFill="1" applyBorder="1" applyAlignment="1">
      <alignment horizontal="center"/>
    </xf>
    <xf numFmtId="170" fontId="4" fillId="24" borderId="36" xfId="0" applyNumberFormat="1" applyFont="1" applyFill="1" applyBorder="1" applyAlignment="1">
      <alignment horizontal="center"/>
    </xf>
    <xf numFmtId="0" fontId="77" fillId="0" borderId="0" xfId="0" applyFont="1" applyAlignment="1">
      <alignment vertical="center"/>
    </xf>
    <xf numFmtId="168" fontId="77" fillId="46" borderId="27" xfId="0" applyNumberFormat="1" applyFont="1" applyFill="1" applyBorder="1" applyAlignment="1" applyProtection="1">
      <alignment horizontal="right"/>
      <protection locked="0"/>
    </xf>
    <xf numFmtId="170" fontId="77" fillId="41" borderId="46" xfId="0" applyNumberFormat="1" applyFont="1" applyFill="1" applyBorder="1" applyAlignment="1" applyProtection="1">
      <alignment horizontal="right"/>
      <protection locked="0"/>
    </xf>
    <xf numFmtId="170" fontId="77" fillId="41" borderId="46" xfId="0" applyNumberFormat="1" applyFont="1" applyFill="1" applyBorder="1" applyProtection="1">
      <protection locked="0"/>
    </xf>
    <xf numFmtId="170" fontId="77" fillId="44" borderId="46" xfId="0" applyNumberFormat="1" applyFont="1" applyFill="1" applyBorder="1" applyProtection="1">
      <protection locked="0"/>
    </xf>
    <xf numFmtId="170" fontId="77" fillId="44" borderId="46" xfId="0" applyNumberFormat="1" applyFont="1" applyFill="1" applyBorder="1" applyAlignment="1" applyProtection="1">
      <alignment horizontal="right"/>
      <protection locked="0"/>
    </xf>
    <xf numFmtId="170" fontId="77" fillId="41" borderId="48" xfId="0" applyNumberFormat="1" applyFont="1" applyFill="1" applyBorder="1" applyAlignment="1" applyProtection="1">
      <alignment horizontal="right"/>
      <protection locked="0"/>
    </xf>
    <xf numFmtId="170" fontId="77" fillId="41" borderId="48" xfId="0" applyNumberFormat="1" applyFont="1" applyFill="1" applyBorder="1" applyProtection="1">
      <protection locked="0"/>
    </xf>
    <xf numFmtId="170" fontId="77" fillId="44" borderId="48" xfId="0" applyNumberFormat="1" applyFont="1" applyFill="1" applyBorder="1" applyProtection="1">
      <protection locked="0"/>
    </xf>
    <xf numFmtId="170" fontId="77" fillId="44" borderId="48" xfId="0" applyNumberFormat="1" applyFont="1" applyFill="1" applyBorder="1" applyAlignment="1" applyProtection="1">
      <alignment horizontal="right"/>
      <protection locked="0"/>
    </xf>
    <xf numFmtId="170" fontId="77" fillId="44" borderId="47" xfId="0" applyNumberFormat="1" applyFont="1" applyFill="1" applyBorder="1" applyProtection="1">
      <protection locked="0"/>
    </xf>
    <xf numFmtId="168" fontId="77" fillId="0" borderId="7" xfId="0" applyNumberFormat="1" applyFont="1" applyBorder="1"/>
    <xf numFmtId="170" fontId="77" fillId="0" borderId="7" xfId="0" applyNumberFormat="1" applyFont="1" applyBorder="1"/>
    <xf numFmtId="0" fontId="4" fillId="0" borderId="0" xfId="118" applyFont="1" applyFill="1" applyBorder="1" applyAlignment="1" applyProtection="1">
      <alignment horizontal="left"/>
    </xf>
    <xf numFmtId="165" fontId="1" fillId="0" borderId="0" xfId="0" applyNumberFormat="1" applyFont="1"/>
    <xf numFmtId="169" fontId="1" fillId="0" borderId="0" xfId="0" applyNumberFormat="1" applyFont="1"/>
    <xf numFmtId="0" fontId="6" fillId="48" borderId="0" xfId="0" applyFont="1" applyFill="1" applyAlignment="1">
      <alignment horizontal="center" vertical="center"/>
    </xf>
    <xf numFmtId="0" fontId="6" fillId="27" borderId="54" xfId="621" applyFont="1" applyFill="1" applyBorder="1" applyAlignment="1">
      <alignment horizontal="center" vertical="center"/>
    </xf>
    <xf numFmtId="165" fontId="6" fillId="27" borderId="54" xfId="621" applyNumberFormat="1" applyFont="1" applyFill="1" applyBorder="1" applyAlignment="1">
      <alignment horizontal="center" vertical="center"/>
    </xf>
    <xf numFmtId="0" fontId="0" fillId="49" borderId="0" xfId="0" applyFill="1"/>
    <xf numFmtId="0" fontId="0" fillId="49" borderId="28" xfId="0" applyFill="1" applyBorder="1"/>
    <xf numFmtId="0" fontId="0" fillId="49" borderId="29" xfId="0" applyFill="1" applyBorder="1"/>
    <xf numFmtId="0" fontId="0" fillId="49" borderId="30" xfId="0" applyFill="1" applyBorder="1"/>
    <xf numFmtId="0" fontId="0" fillId="49" borderId="33" xfId="0" applyFill="1" applyBorder="1"/>
    <xf numFmtId="0" fontId="0" fillId="49" borderId="34" xfId="0" applyFill="1" applyBorder="1"/>
    <xf numFmtId="0" fontId="0" fillId="49" borderId="35" xfId="0" applyFill="1" applyBorder="1"/>
    <xf numFmtId="0" fontId="0" fillId="49" borderId="32" xfId="0" applyFill="1" applyBorder="1"/>
    <xf numFmtId="164" fontId="4" fillId="49" borderId="32" xfId="0" applyNumberFormat="1" applyFont="1" applyFill="1" applyBorder="1" applyAlignment="1">
      <alignment horizontal="center"/>
    </xf>
    <xf numFmtId="0" fontId="0" fillId="49" borderId="36" xfId="0" applyFill="1" applyBorder="1"/>
    <xf numFmtId="0" fontId="4" fillId="0" borderId="29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49" borderId="6" xfId="0" applyFill="1" applyBorder="1"/>
    <xf numFmtId="0" fontId="0" fillId="49" borderId="51" xfId="0" applyFill="1" applyBorder="1"/>
    <xf numFmtId="0" fontId="80" fillId="49" borderId="6" xfId="0" applyFont="1" applyFill="1" applyBorder="1"/>
    <xf numFmtId="0" fontId="80" fillId="49" borderId="51" xfId="0" applyFont="1" applyFill="1" applyBorder="1"/>
    <xf numFmtId="0" fontId="81" fillId="49" borderId="50" xfId="0" applyFont="1" applyFill="1" applyBorder="1" applyAlignment="1">
      <alignment horizontal="left" vertical="center"/>
    </xf>
    <xf numFmtId="0" fontId="0" fillId="50" borderId="28" xfId="0" applyFill="1" applyBorder="1"/>
    <xf numFmtId="0" fontId="0" fillId="50" borderId="29" xfId="0" applyFill="1" applyBorder="1" applyAlignment="1">
      <alignment horizontal="center"/>
    </xf>
    <xf numFmtId="0" fontId="6" fillId="50" borderId="29" xfId="0" applyFont="1" applyFill="1" applyBorder="1" applyAlignment="1">
      <alignment horizontal="center"/>
    </xf>
    <xf numFmtId="0" fontId="0" fillId="50" borderId="29" xfId="0" applyFill="1" applyBorder="1"/>
    <xf numFmtId="0" fontId="0" fillId="50" borderId="30" xfId="0" applyFill="1" applyBorder="1"/>
    <xf numFmtId="0" fontId="0" fillId="50" borderId="33" xfId="0" applyFill="1" applyBorder="1"/>
    <xf numFmtId="0" fontId="0" fillId="50" borderId="0" xfId="0" applyFill="1" applyAlignment="1">
      <alignment horizontal="center"/>
    </xf>
    <xf numFmtId="0" fontId="5" fillId="50" borderId="0" xfId="0" applyFont="1" applyFill="1" applyAlignment="1">
      <alignment horizontal="center"/>
    </xf>
    <xf numFmtId="0" fontId="0" fillId="50" borderId="0" xfId="0" applyFill="1"/>
    <xf numFmtId="0" fontId="0" fillId="50" borderId="34" xfId="0" applyFill="1" applyBorder="1"/>
    <xf numFmtId="0" fontId="0" fillId="50" borderId="35" xfId="0" applyFill="1" applyBorder="1"/>
    <xf numFmtId="0" fontId="0" fillId="50" borderId="32" xfId="0" applyFill="1" applyBorder="1" applyAlignment="1">
      <alignment horizontal="center"/>
    </xf>
    <xf numFmtId="0" fontId="5" fillId="50" borderId="32" xfId="0" applyFont="1" applyFill="1" applyBorder="1" applyAlignment="1">
      <alignment horizontal="center"/>
    </xf>
    <xf numFmtId="0" fontId="0" fillId="50" borderId="32" xfId="0" applyFill="1" applyBorder="1"/>
    <xf numFmtId="0" fontId="0" fillId="50" borderId="36" xfId="0" applyFill="1" applyBorder="1"/>
    <xf numFmtId="0" fontId="0" fillId="49" borderId="50" xfId="0" applyFill="1" applyBorder="1"/>
    <xf numFmtId="0" fontId="82" fillId="49" borderId="6" xfId="0" applyFont="1" applyFill="1" applyBorder="1"/>
    <xf numFmtId="0" fontId="5" fillId="49" borderId="50" xfId="0" applyFont="1" applyFill="1" applyBorder="1"/>
    <xf numFmtId="0" fontId="5" fillId="49" borderId="51" xfId="0" applyFont="1" applyFill="1" applyBorder="1"/>
    <xf numFmtId="0" fontId="81" fillId="49" borderId="6" xfId="0" applyFont="1" applyFill="1" applyBorder="1" applyAlignment="1">
      <alignment horizontal="left" vertical="center"/>
    </xf>
    <xf numFmtId="0" fontId="0" fillId="49" borderId="6" xfId="0" applyFill="1" applyBorder="1" applyAlignment="1">
      <alignment horizontal="left"/>
    </xf>
    <xf numFmtId="0" fontId="4" fillId="49" borderId="6" xfId="0" applyFont="1" applyFill="1" applyBorder="1" applyAlignment="1">
      <alignment horizontal="left"/>
    </xf>
    <xf numFmtId="170" fontId="0" fillId="49" borderId="6" xfId="0" applyNumberFormat="1" applyFill="1" applyBorder="1" applyAlignment="1">
      <alignment horizontal="left"/>
    </xf>
    <xf numFmtId="49" fontId="82" fillId="49" borderId="50" xfId="0" applyNumberFormat="1" applyFont="1" applyFill="1" applyBorder="1" applyAlignment="1">
      <alignment horizontal="right"/>
    </xf>
    <xf numFmtId="0" fontId="82" fillId="49" borderId="6" xfId="0" applyFont="1" applyFill="1" applyBorder="1" applyAlignment="1">
      <alignment horizontal="left"/>
    </xf>
    <xf numFmtId="0" fontId="77" fillId="49" borderId="29" xfId="0" applyFont="1" applyFill="1" applyBorder="1"/>
    <xf numFmtId="0" fontId="77" fillId="49" borderId="32" xfId="0" applyFont="1" applyFill="1" applyBorder="1"/>
    <xf numFmtId="0" fontId="77" fillId="49" borderId="52" xfId="0" applyFont="1" applyFill="1" applyBorder="1"/>
    <xf numFmtId="0" fontId="77" fillId="49" borderId="28" xfId="0" applyFont="1" applyFill="1" applyBorder="1" applyAlignment="1">
      <alignment horizontal="right"/>
    </xf>
    <xf numFmtId="0" fontId="77" fillId="49" borderId="35" xfId="0" applyFont="1" applyFill="1" applyBorder="1" applyAlignment="1">
      <alignment horizontal="right"/>
    </xf>
    <xf numFmtId="0" fontId="83" fillId="49" borderId="32" xfId="0" applyFont="1" applyFill="1" applyBorder="1"/>
    <xf numFmtId="0" fontId="84" fillId="49" borderId="30" xfId="0" applyFont="1" applyFill="1" applyBorder="1" applyAlignment="1">
      <alignment horizontal="right"/>
    </xf>
    <xf numFmtId="0" fontId="84" fillId="49" borderId="36" xfId="0" applyFont="1" applyFill="1" applyBorder="1" applyAlignment="1">
      <alignment horizontal="right"/>
    </xf>
    <xf numFmtId="0" fontId="84" fillId="49" borderId="30" xfId="0" applyFont="1" applyFill="1" applyBorder="1" applyAlignment="1">
      <alignment horizontal="right" vertical="center"/>
    </xf>
    <xf numFmtId="0" fontId="84" fillId="49" borderId="36" xfId="0" applyFont="1" applyFill="1" applyBorder="1" applyAlignment="1">
      <alignment horizontal="right" vertical="center"/>
    </xf>
    <xf numFmtId="0" fontId="83" fillId="49" borderId="53" xfId="0" applyFont="1" applyFill="1" applyBorder="1"/>
    <xf numFmtId="0" fontId="77" fillId="49" borderId="28" xfId="0" applyFont="1" applyFill="1" applyBorder="1"/>
    <xf numFmtId="0" fontId="83" fillId="49" borderId="35" xfId="0" applyFont="1" applyFill="1" applyBorder="1"/>
    <xf numFmtId="0" fontId="81" fillId="49" borderId="0" xfId="0" applyFont="1" applyFill="1" applyAlignment="1">
      <alignment horizontal="left" vertical="center"/>
    </xf>
    <xf numFmtId="170" fontId="0" fillId="49" borderId="0" xfId="0" applyNumberFormat="1" applyFill="1"/>
    <xf numFmtId="0" fontId="0" fillId="49" borderId="51" xfId="0" applyFill="1" applyBorder="1" applyAlignment="1">
      <alignment horizontal="left"/>
    </xf>
    <xf numFmtId="0" fontId="6" fillId="49" borderId="6" xfId="0" applyFont="1" applyFill="1" applyBorder="1" applyAlignment="1">
      <alignment horizontal="right"/>
    </xf>
    <xf numFmtId="168" fontId="5" fillId="46" borderId="0" xfId="0" applyNumberFormat="1" applyFont="1" applyFill="1"/>
    <xf numFmtId="170" fontId="5" fillId="46" borderId="0" xfId="0" applyNumberFormat="1" applyFont="1" applyFill="1"/>
    <xf numFmtId="0" fontId="6" fillId="46" borderId="0" xfId="0" applyFont="1" applyFill="1"/>
    <xf numFmtId="0" fontId="6" fillId="49" borderId="50" xfId="0" applyFont="1" applyFill="1" applyBorder="1" applyAlignment="1">
      <alignment horizontal="right"/>
    </xf>
    <xf numFmtId="0" fontId="81" fillId="49" borderId="6" xfId="0" applyFont="1" applyFill="1" applyBorder="1" applyAlignment="1">
      <alignment vertical="center"/>
    </xf>
    <xf numFmtId="0" fontId="6" fillId="49" borderId="6" xfId="0" applyFont="1" applyFill="1" applyBorder="1" applyAlignment="1">
      <alignment horizontal="left"/>
    </xf>
    <xf numFmtId="0" fontId="6" fillId="49" borderId="6" xfId="0" applyFont="1" applyFill="1" applyBorder="1"/>
    <xf numFmtId="0" fontId="6" fillId="49" borderId="51" xfId="0" applyFont="1" applyFill="1" applyBorder="1" applyAlignment="1">
      <alignment horizontal="right"/>
    </xf>
    <xf numFmtId="170" fontId="77" fillId="44" borderId="0" xfId="0" applyNumberFormat="1" applyFont="1" applyFill="1" applyProtection="1">
      <protection locked="0"/>
    </xf>
    <xf numFmtId="170" fontId="77" fillId="41" borderId="0" xfId="0" applyNumberFormat="1" applyFont="1" applyFill="1" applyAlignment="1" applyProtection="1">
      <alignment horizontal="right"/>
      <protection locked="0"/>
    </xf>
    <xf numFmtId="170" fontId="77" fillId="41" borderId="0" xfId="0" applyNumberFormat="1" applyFont="1" applyFill="1" applyProtection="1">
      <protection locked="0"/>
    </xf>
    <xf numFmtId="170" fontId="77" fillId="44" borderId="0" xfId="0" applyNumberFormat="1" applyFont="1" applyFill="1" applyAlignment="1" applyProtection="1">
      <alignment horizontal="right"/>
      <protection locked="0"/>
    </xf>
    <xf numFmtId="0" fontId="77" fillId="0" borderId="0" xfId="0" applyFont="1" applyAlignment="1">
      <alignment horizontal="right" vertical="center"/>
    </xf>
    <xf numFmtId="0" fontId="1" fillId="46" borderId="0" xfId="0" applyFont="1" applyFill="1"/>
    <xf numFmtId="171" fontId="4" fillId="0" borderId="35" xfId="0" applyNumberFormat="1" applyFont="1" applyBorder="1" applyAlignment="1">
      <alignment horizontal="center"/>
    </xf>
    <xf numFmtId="0" fontId="0" fillId="0" borderId="32" xfId="0" applyBorder="1"/>
    <xf numFmtId="0" fontId="0" fillId="0" borderId="36" xfId="0" applyBorder="1"/>
    <xf numFmtId="49" fontId="5" fillId="46" borderId="47" xfId="0" applyNumberFormat="1" applyFont="1" applyFill="1" applyBorder="1" applyAlignment="1" applyProtection="1">
      <alignment vertical="center"/>
      <protection locked="0"/>
    </xf>
    <xf numFmtId="49" fontId="0" fillId="46" borderId="7" xfId="0" applyNumberFormat="1" applyFill="1" applyBorder="1" applyAlignment="1" applyProtection="1">
      <alignment vertical="center"/>
      <protection locked="0"/>
    </xf>
    <xf numFmtId="49" fontId="0" fillId="46" borderId="49" xfId="0" applyNumberForma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 applyAlignment="1">
      <alignment vertical="top"/>
    </xf>
    <xf numFmtId="169" fontId="0" fillId="46" borderId="42" xfId="0" applyNumberFormat="1" applyFill="1" applyBorder="1" applyAlignment="1" applyProtection="1">
      <alignment vertical="center"/>
      <protection locked="0"/>
    </xf>
    <xf numFmtId="169" fontId="0" fillId="46" borderId="31" xfId="0" applyNumberFormat="1" applyFill="1" applyBorder="1" applyAlignment="1" applyProtection="1">
      <alignment vertical="center"/>
      <protection locked="0"/>
    </xf>
    <xf numFmtId="0" fontId="7" fillId="0" borderId="0" xfId="118" applyFill="1" applyBorder="1" applyAlignment="1" applyProtection="1">
      <alignment horizontal="left"/>
      <protection locked="0"/>
    </xf>
    <xf numFmtId="169" fontId="0" fillId="0" borderId="0" xfId="0" applyNumberFormat="1"/>
    <xf numFmtId="171" fontId="6" fillId="0" borderId="35" xfId="0" applyNumberFormat="1" applyFont="1" applyBorder="1" applyAlignment="1">
      <alignment horizontal="center"/>
    </xf>
    <xf numFmtId="49" fontId="19" fillId="0" borderId="0" xfId="0" applyNumberFormat="1" applyFont="1" applyAlignment="1">
      <alignment vertical="center"/>
    </xf>
    <xf numFmtId="165" fontId="0" fillId="0" borderId="0" xfId="0" applyNumberFormat="1"/>
    <xf numFmtId="49" fontId="19" fillId="0" borderId="0" xfId="0" applyNumberFormat="1" applyFont="1" applyAlignment="1">
      <alignment horizontal="center" vertical="center"/>
    </xf>
  </cellXfs>
  <cellStyles count="622">
    <cellStyle name="20 % - Accent1" xfId="1" xr:uid="{00000000-0005-0000-0000-000000000000}"/>
    <cellStyle name="20 % - Accent2" xfId="2" xr:uid="{00000000-0005-0000-0000-000001000000}"/>
    <cellStyle name="20 % - Accent3" xfId="3" xr:uid="{00000000-0005-0000-0000-000002000000}"/>
    <cellStyle name="20 % - Accent4" xfId="4" xr:uid="{00000000-0005-0000-0000-000003000000}"/>
    <cellStyle name="20 % - Accent5" xfId="5" xr:uid="{00000000-0005-0000-0000-000004000000}"/>
    <cellStyle name="20 % - Accent6" xfId="6" xr:uid="{00000000-0005-0000-0000-000005000000}"/>
    <cellStyle name="20% - Accent1 2" xfId="7" xr:uid="{00000000-0005-0000-0000-000006000000}"/>
    <cellStyle name="20% - Accent1 3" xfId="8" xr:uid="{00000000-0005-0000-0000-000007000000}"/>
    <cellStyle name="20% - Accent2 2" xfId="9" xr:uid="{00000000-0005-0000-0000-000008000000}"/>
    <cellStyle name="20% - Accent2 3" xfId="10" xr:uid="{00000000-0005-0000-0000-000009000000}"/>
    <cellStyle name="20% - Accent3 2" xfId="11" xr:uid="{00000000-0005-0000-0000-00000A000000}"/>
    <cellStyle name="20% - Accent3 3" xfId="12" xr:uid="{00000000-0005-0000-0000-00000B000000}"/>
    <cellStyle name="20% - Accent4 2" xfId="13" xr:uid="{00000000-0005-0000-0000-00000C000000}"/>
    <cellStyle name="20% - Accent4 3" xfId="14" xr:uid="{00000000-0005-0000-0000-00000D000000}"/>
    <cellStyle name="20% - Accent5 2" xfId="15" xr:uid="{00000000-0005-0000-0000-00000E000000}"/>
    <cellStyle name="20% - Accent5 3" xfId="16" xr:uid="{00000000-0005-0000-0000-00000F000000}"/>
    <cellStyle name="20% - Accent6 2" xfId="17" xr:uid="{00000000-0005-0000-0000-000010000000}"/>
    <cellStyle name="20% - Accent6 3" xfId="18" xr:uid="{00000000-0005-0000-0000-000011000000}"/>
    <cellStyle name="40 % - Accent1" xfId="19" xr:uid="{00000000-0005-0000-0000-000012000000}"/>
    <cellStyle name="40 % - Accent2" xfId="20" xr:uid="{00000000-0005-0000-0000-000013000000}"/>
    <cellStyle name="40 % - Accent3" xfId="21" xr:uid="{00000000-0005-0000-0000-000014000000}"/>
    <cellStyle name="40 % - Accent4" xfId="22" xr:uid="{00000000-0005-0000-0000-000015000000}"/>
    <cellStyle name="40 % - Accent5" xfId="23" xr:uid="{00000000-0005-0000-0000-000016000000}"/>
    <cellStyle name="40 % - Accent6" xfId="24" xr:uid="{00000000-0005-0000-0000-000017000000}"/>
    <cellStyle name="40% - Accent1 2" xfId="25" xr:uid="{00000000-0005-0000-0000-000018000000}"/>
    <cellStyle name="40% - Accent1 3" xfId="26" xr:uid="{00000000-0005-0000-0000-000019000000}"/>
    <cellStyle name="40% - Accent2 2" xfId="27" xr:uid="{00000000-0005-0000-0000-00001A000000}"/>
    <cellStyle name="40% - Accent3 2" xfId="28" xr:uid="{00000000-0005-0000-0000-00001B000000}"/>
    <cellStyle name="40% - Accent3 3" xfId="29" xr:uid="{00000000-0005-0000-0000-00001C000000}"/>
    <cellStyle name="40% - Accent4 2" xfId="30" xr:uid="{00000000-0005-0000-0000-00001D000000}"/>
    <cellStyle name="40% - Accent4 3" xfId="31" xr:uid="{00000000-0005-0000-0000-00001E000000}"/>
    <cellStyle name="40% - Accent5 2" xfId="32" xr:uid="{00000000-0005-0000-0000-00001F000000}"/>
    <cellStyle name="40% - Accent5 3" xfId="33" xr:uid="{00000000-0005-0000-0000-000020000000}"/>
    <cellStyle name="40% - Accent6 2" xfId="34" xr:uid="{00000000-0005-0000-0000-000021000000}"/>
    <cellStyle name="40% - Accent6 3" xfId="35" xr:uid="{00000000-0005-0000-0000-000022000000}"/>
    <cellStyle name="60 % - Accent1" xfId="36" xr:uid="{00000000-0005-0000-0000-000023000000}"/>
    <cellStyle name="60 % - Accent2" xfId="37" xr:uid="{00000000-0005-0000-0000-000024000000}"/>
    <cellStyle name="60 % - Accent3" xfId="38" xr:uid="{00000000-0005-0000-0000-000025000000}"/>
    <cellStyle name="60 % - Accent4" xfId="39" xr:uid="{00000000-0005-0000-0000-000026000000}"/>
    <cellStyle name="60 % - Accent5" xfId="40" xr:uid="{00000000-0005-0000-0000-000027000000}"/>
    <cellStyle name="60 % - Accent6" xfId="41" xr:uid="{00000000-0005-0000-0000-000028000000}"/>
    <cellStyle name="60% - Accent1 2" xfId="42" xr:uid="{00000000-0005-0000-0000-000029000000}"/>
    <cellStyle name="60% - Accent1 3" xfId="43" xr:uid="{00000000-0005-0000-0000-00002A000000}"/>
    <cellStyle name="60% - Accent2 2" xfId="44" xr:uid="{00000000-0005-0000-0000-00002B000000}"/>
    <cellStyle name="60% - Accent3 2" xfId="45" xr:uid="{00000000-0005-0000-0000-00002C000000}"/>
    <cellStyle name="60% - Accent3 3" xfId="46" xr:uid="{00000000-0005-0000-0000-00002D000000}"/>
    <cellStyle name="60% - Accent4 2" xfId="47" xr:uid="{00000000-0005-0000-0000-00002E000000}"/>
    <cellStyle name="60% - Accent4 3" xfId="48" xr:uid="{00000000-0005-0000-0000-00002F000000}"/>
    <cellStyle name="60% - Accent5 2" xfId="49" xr:uid="{00000000-0005-0000-0000-000030000000}"/>
    <cellStyle name="60% - Accent5 3" xfId="50" xr:uid="{00000000-0005-0000-0000-000031000000}"/>
    <cellStyle name="60% - Accent6 2" xfId="51" xr:uid="{00000000-0005-0000-0000-000032000000}"/>
    <cellStyle name="60% - Accent6 3" xfId="52" xr:uid="{00000000-0005-0000-0000-000033000000}"/>
    <cellStyle name="Accent1 2" xfId="53" xr:uid="{00000000-0005-0000-0000-000034000000}"/>
    <cellStyle name="Accent1 3" xfId="54" xr:uid="{00000000-0005-0000-0000-000035000000}"/>
    <cellStyle name="Accent2 2" xfId="55" xr:uid="{00000000-0005-0000-0000-000036000000}"/>
    <cellStyle name="Accent3 2" xfId="56" xr:uid="{00000000-0005-0000-0000-000037000000}"/>
    <cellStyle name="Accent4 2" xfId="57" xr:uid="{00000000-0005-0000-0000-000038000000}"/>
    <cellStyle name="Accent4 3" xfId="58" xr:uid="{00000000-0005-0000-0000-000039000000}"/>
    <cellStyle name="Accent5 2" xfId="59" xr:uid="{00000000-0005-0000-0000-00003A000000}"/>
    <cellStyle name="Accent6 2" xfId="60" xr:uid="{00000000-0005-0000-0000-00003B000000}"/>
    <cellStyle name="Accent6 3" xfId="61" xr:uid="{00000000-0005-0000-0000-00003C000000}"/>
    <cellStyle name="Actual Date" xfId="62" xr:uid="{00000000-0005-0000-0000-00003D000000}"/>
    <cellStyle name="Avertissement" xfId="63" xr:uid="{00000000-0005-0000-0000-00003E000000}"/>
    <cellStyle name="Bad 2" xfId="64" xr:uid="{00000000-0005-0000-0000-00003F000000}"/>
    <cellStyle name="Bad 3" xfId="65" xr:uid="{00000000-0005-0000-0000-000040000000}"/>
    <cellStyle name="balances" xfId="66" xr:uid="{00000000-0005-0000-0000-000041000000}"/>
    <cellStyle name="Calcul" xfId="67" xr:uid="{00000000-0005-0000-0000-000042000000}"/>
    <cellStyle name="Calcul 2" xfId="68" xr:uid="{00000000-0005-0000-0000-000043000000}"/>
    <cellStyle name="Calculation 2" xfId="69" xr:uid="{00000000-0005-0000-0000-000044000000}"/>
    <cellStyle name="Calculation 2 2" xfId="70" xr:uid="{00000000-0005-0000-0000-000045000000}"/>
    <cellStyle name="Calculation 3" xfId="71" xr:uid="{00000000-0005-0000-0000-000046000000}"/>
    <cellStyle name="Calculation 4" xfId="72" xr:uid="{00000000-0005-0000-0000-000047000000}"/>
    <cellStyle name="Cellule liée" xfId="73" xr:uid="{00000000-0005-0000-0000-000048000000}"/>
    <cellStyle name="Check Cell 2" xfId="74" xr:uid="{00000000-0005-0000-0000-000049000000}"/>
    <cellStyle name="Comma 2" xfId="75" xr:uid="{00000000-0005-0000-0000-00004A000000}"/>
    <cellStyle name="Comma 3" xfId="76" xr:uid="{00000000-0005-0000-0000-00004B000000}"/>
    <cellStyle name="Comma 3 2" xfId="77" xr:uid="{00000000-0005-0000-0000-00004C000000}"/>
    <cellStyle name="Comma 3 3" xfId="78" xr:uid="{00000000-0005-0000-0000-00004D000000}"/>
    <cellStyle name="Comma 4" xfId="79" xr:uid="{00000000-0005-0000-0000-00004E000000}"/>
    <cellStyle name="Comma 4 2" xfId="80" xr:uid="{00000000-0005-0000-0000-00004F000000}"/>
    <cellStyle name="Comma 4 3" xfId="81" xr:uid="{00000000-0005-0000-0000-000050000000}"/>
    <cellStyle name="Comma 5" xfId="82" xr:uid="{00000000-0005-0000-0000-000051000000}"/>
    <cellStyle name="Comma 5 2" xfId="83" xr:uid="{00000000-0005-0000-0000-000052000000}"/>
    <cellStyle name="Comma 6" xfId="84" xr:uid="{00000000-0005-0000-0000-000053000000}"/>
    <cellStyle name="Comma 6 2" xfId="85" xr:uid="{00000000-0005-0000-0000-000054000000}"/>
    <cellStyle name="Comma 6 3" xfId="86" xr:uid="{00000000-0005-0000-0000-000055000000}"/>
    <cellStyle name="Comma 6 4" xfId="87" xr:uid="{00000000-0005-0000-0000-000056000000}"/>
    <cellStyle name="Comma 7" xfId="88" xr:uid="{00000000-0005-0000-0000-000057000000}"/>
    <cellStyle name="Commentaire" xfId="89" xr:uid="{00000000-0005-0000-0000-000058000000}"/>
    <cellStyle name="Commentaire 2" xfId="90" xr:uid="{00000000-0005-0000-0000-000059000000}"/>
    <cellStyle name="Currency 2" xfId="91" xr:uid="{00000000-0005-0000-0000-00005A000000}"/>
    <cellStyle name="Currency 3" xfId="92" xr:uid="{00000000-0005-0000-0000-00005B000000}"/>
    <cellStyle name="Currency 4" xfId="93" xr:uid="{00000000-0005-0000-0000-00005C000000}"/>
    <cellStyle name="Date" xfId="94" xr:uid="{00000000-0005-0000-0000-00005D000000}"/>
    <cellStyle name="Entrée" xfId="95" xr:uid="{00000000-0005-0000-0000-00005E000000}"/>
    <cellStyle name="Entrée 2" xfId="96" xr:uid="{00000000-0005-0000-0000-00005F000000}"/>
    <cellStyle name="Excel.Chart" xfId="97" xr:uid="{00000000-0005-0000-0000-000060000000}"/>
    <cellStyle name="Explanatory Text 2" xfId="98" xr:uid="{00000000-0005-0000-0000-000061000000}"/>
    <cellStyle name="Fixed" xfId="99" xr:uid="{00000000-0005-0000-0000-000062000000}"/>
    <cellStyle name="Good 2" xfId="100" xr:uid="{00000000-0005-0000-0000-000063000000}"/>
    <cellStyle name="Grey" xfId="101" xr:uid="{00000000-0005-0000-0000-000064000000}"/>
    <cellStyle name="HEADER" xfId="102" xr:uid="{00000000-0005-0000-0000-000065000000}"/>
    <cellStyle name="Header1" xfId="103" xr:uid="{00000000-0005-0000-0000-000066000000}"/>
    <cellStyle name="Header2" xfId="104" xr:uid="{00000000-0005-0000-0000-000067000000}"/>
    <cellStyle name="Header2 2" xfId="105" xr:uid="{00000000-0005-0000-0000-000068000000}"/>
    <cellStyle name="Header2 3" xfId="106" xr:uid="{00000000-0005-0000-0000-000069000000}"/>
    <cellStyle name="Heading 1 2" xfId="107" xr:uid="{00000000-0005-0000-0000-00006A000000}"/>
    <cellStyle name="Heading 1 3" xfId="108" xr:uid="{00000000-0005-0000-0000-00006B000000}"/>
    <cellStyle name="Heading 2 2" xfId="109" xr:uid="{00000000-0005-0000-0000-00006C000000}"/>
    <cellStyle name="Heading 2 3" xfId="110" xr:uid="{00000000-0005-0000-0000-00006D000000}"/>
    <cellStyle name="Heading 3 2" xfId="111" xr:uid="{00000000-0005-0000-0000-00006E000000}"/>
    <cellStyle name="Heading 3 3" xfId="112" xr:uid="{00000000-0005-0000-0000-00006F000000}"/>
    <cellStyle name="Heading 4 2" xfId="113" xr:uid="{00000000-0005-0000-0000-000070000000}"/>
    <cellStyle name="Heading 4 3" xfId="114" xr:uid="{00000000-0005-0000-0000-000071000000}"/>
    <cellStyle name="Heading1" xfId="115" xr:uid="{00000000-0005-0000-0000-000072000000}"/>
    <cellStyle name="Heading2" xfId="116" xr:uid="{00000000-0005-0000-0000-000073000000}"/>
    <cellStyle name="HIGHLIGHT" xfId="117" xr:uid="{00000000-0005-0000-0000-000074000000}"/>
    <cellStyle name="Hyperlink" xfId="118" builtinId="8"/>
    <cellStyle name="Hyperlink 2" xfId="119" xr:uid="{00000000-0005-0000-0000-000076000000}"/>
    <cellStyle name="Hyperlink 2 2" xfId="120" xr:uid="{00000000-0005-0000-0000-000077000000}"/>
    <cellStyle name="Hyperlink 2 3" xfId="121" xr:uid="{00000000-0005-0000-0000-000078000000}"/>
    <cellStyle name="Hyperlink 2 4" xfId="122" xr:uid="{00000000-0005-0000-0000-000079000000}"/>
    <cellStyle name="Hyperlink 2 5" xfId="123" xr:uid="{00000000-0005-0000-0000-00007A000000}"/>
    <cellStyle name="Hyperlink 2 6" xfId="124" xr:uid="{00000000-0005-0000-0000-00007B000000}"/>
    <cellStyle name="Hyperlink 3" xfId="125" xr:uid="{00000000-0005-0000-0000-00007C000000}"/>
    <cellStyle name="Hyperlink 4" xfId="126" xr:uid="{00000000-0005-0000-0000-00007D000000}"/>
    <cellStyle name="Hyperlink 4 2" xfId="127" xr:uid="{00000000-0005-0000-0000-00007E000000}"/>
    <cellStyle name="Hyperlink 4 3" xfId="128" xr:uid="{00000000-0005-0000-0000-00007F000000}"/>
    <cellStyle name="Hyperlink 5" xfId="129" xr:uid="{00000000-0005-0000-0000-000080000000}"/>
    <cellStyle name="Hyperlink 5 2" xfId="130" xr:uid="{00000000-0005-0000-0000-000081000000}"/>
    <cellStyle name="Hyperlink 5 3" xfId="131" xr:uid="{00000000-0005-0000-0000-000082000000}"/>
    <cellStyle name="Hyperlink 6" xfId="132" xr:uid="{00000000-0005-0000-0000-000083000000}"/>
    <cellStyle name="Hyperlink 6 2" xfId="133" xr:uid="{00000000-0005-0000-0000-000084000000}"/>
    <cellStyle name="Hyperlink 6 3" xfId="134" xr:uid="{00000000-0005-0000-0000-000085000000}"/>
    <cellStyle name="Input [yellow]" xfId="135" xr:uid="{00000000-0005-0000-0000-000086000000}"/>
    <cellStyle name="Input [yellow] 2" xfId="136" xr:uid="{00000000-0005-0000-0000-000087000000}"/>
    <cellStyle name="Input [yellow] 2 2" xfId="137" xr:uid="{00000000-0005-0000-0000-000088000000}"/>
    <cellStyle name="Input [yellow] 2 3" xfId="138" xr:uid="{00000000-0005-0000-0000-000089000000}"/>
    <cellStyle name="Input [yellow] 3" xfId="139" xr:uid="{00000000-0005-0000-0000-00008A000000}"/>
    <cellStyle name="Input [yellow] 3 2" xfId="140" xr:uid="{00000000-0005-0000-0000-00008B000000}"/>
    <cellStyle name="Input [yellow] 3 3" xfId="141" xr:uid="{00000000-0005-0000-0000-00008C000000}"/>
    <cellStyle name="Input [yellow] 4" xfId="142" xr:uid="{00000000-0005-0000-0000-00008D000000}"/>
    <cellStyle name="Input [yellow] 5" xfId="143" xr:uid="{00000000-0005-0000-0000-00008E000000}"/>
    <cellStyle name="Input 10" xfId="144" xr:uid="{00000000-0005-0000-0000-00008F000000}"/>
    <cellStyle name="Input 11" xfId="145" xr:uid="{00000000-0005-0000-0000-000090000000}"/>
    <cellStyle name="Input 12" xfId="146" xr:uid="{00000000-0005-0000-0000-000091000000}"/>
    <cellStyle name="Input 13" xfId="147" xr:uid="{00000000-0005-0000-0000-000092000000}"/>
    <cellStyle name="Input 14" xfId="148" xr:uid="{00000000-0005-0000-0000-000093000000}"/>
    <cellStyle name="Input 15" xfId="149" xr:uid="{00000000-0005-0000-0000-000094000000}"/>
    <cellStyle name="Input 16" xfId="150" xr:uid="{00000000-0005-0000-0000-000095000000}"/>
    <cellStyle name="Input 17" xfId="151" xr:uid="{00000000-0005-0000-0000-000096000000}"/>
    <cellStyle name="Input 18" xfId="152" xr:uid="{00000000-0005-0000-0000-000097000000}"/>
    <cellStyle name="Input 19" xfId="153" xr:uid="{00000000-0005-0000-0000-000098000000}"/>
    <cellStyle name="Input 2" xfId="154" xr:uid="{00000000-0005-0000-0000-000099000000}"/>
    <cellStyle name="Input 2 2" xfId="155" xr:uid="{00000000-0005-0000-0000-00009A000000}"/>
    <cellStyle name="Input 20" xfId="156" xr:uid="{00000000-0005-0000-0000-00009B000000}"/>
    <cellStyle name="Input 21" xfId="157" xr:uid="{00000000-0005-0000-0000-00009C000000}"/>
    <cellStyle name="Input 3" xfId="158" xr:uid="{00000000-0005-0000-0000-00009D000000}"/>
    <cellStyle name="Input 3 2" xfId="159" xr:uid="{00000000-0005-0000-0000-00009E000000}"/>
    <cellStyle name="Input 4" xfId="160" xr:uid="{00000000-0005-0000-0000-00009F000000}"/>
    <cellStyle name="Input 5" xfId="161" xr:uid="{00000000-0005-0000-0000-0000A0000000}"/>
    <cellStyle name="Input 6" xfId="162" xr:uid="{00000000-0005-0000-0000-0000A1000000}"/>
    <cellStyle name="Input 7" xfId="163" xr:uid="{00000000-0005-0000-0000-0000A2000000}"/>
    <cellStyle name="Input 8" xfId="164" xr:uid="{00000000-0005-0000-0000-0000A3000000}"/>
    <cellStyle name="Input 9" xfId="165" xr:uid="{00000000-0005-0000-0000-0000A4000000}"/>
    <cellStyle name="Insatisfaisant" xfId="166" xr:uid="{00000000-0005-0000-0000-0000A5000000}"/>
    <cellStyle name="Linked Cell 2" xfId="167" xr:uid="{00000000-0005-0000-0000-0000A6000000}"/>
    <cellStyle name="Linked Cell 3" xfId="168" xr:uid="{00000000-0005-0000-0000-0000A7000000}"/>
    <cellStyle name="Milliers 2" xfId="169" xr:uid="{00000000-0005-0000-0000-0000A8000000}"/>
    <cellStyle name="Neutral 2" xfId="170" xr:uid="{00000000-0005-0000-0000-0000A9000000}"/>
    <cellStyle name="Neutral 3" xfId="171" xr:uid="{00000000-0005-0000-0000-0000AA000000}"/>
    <cellStyle name="Neutre" xfId="172" xr:uid="{00000000-0005-0000-0000-0000AB000000}"/>
    <cellStyle name="no dec" xfId="173" xr:uid="{00000000-0005-0000-0000-0000AC000000}"/>
    <cellStyle name="Normal" xfId="0" builtinId="0"/>
    <cellStyle name="Normal - Style1" xfId="174" xr:uid="{00000000-0005-0000-0000-0000AE000000}"/>
    <cellStyle name="Normal 10" xfId="175" xr:uid="{00000000-0005-0000-0000-0000AF000000}"/>
    <cellStyle name="Normal 10 2" xfId="176" xr:uid="{00000000-0005-0000-0000-0000B0000000}"/>
    <cellStyle name="Normal 10 3" xfId="177" xr:uid="{00000000-0005-0000-0000-0000B1000000}"/>
    <cellStyle name="Normal 100" xfId="178" xr:uid="{00000000-0005-0000-0000-0000B2000000}"/>
    <cellStyle name="Normal 101" xfId="179" xr:uid="{00000000-0005-0000-0000-0000B3000000}"/>
    <cellStyle name="Normal 102" xfId="180" xr:uid="{00000000-0005-0000-0000-0000B4000000}"/>
    <cellStyle name="Normal 103" xfId="181" xr:uid="{00000000-0005-0000-0000-0000B5000000}"/>
    <cellStyle name="Normal 104" xfId="182" xr:uid="{00000000-0005-0000-0000-0000B6000000}"/>
    <cellStyle name="Normal 105" xfId="183" xr:uid="{00000000-0005-0000-0000-0000B7000000}"/>
    <cellStyle name="Normal 106" xfId="184" xr:uid="{00000000-0005-0000-0000-0000B8000000}"/>
    <cellStyle name="Normal 107" xfId="185" xr:uid="{00000000-0005-0000-0000-0000B9000000}"/>
    <cellStyle name="Normal 108" xfId="186" xr:uid="{00000000-0005-0000-0000-0000BA000000}"/>
    <cellStyle name="Normal 109" xfId="187" xr:uid="{00000000-0005-0000-0000-0000BB000000}"/>
    <cellStyle name="Normal 11" xfId="188" xr:uid="{00000000-0005-0000-0000-0000BC000000}"/>
    <cellStyle name="Normal 11 2" xfId="189" xr:uid="{00000000-0005-0000-0000-0000BD000000}"/>
    <cellStyle name="Normal 11 3" xfId="190" xr:uid="{00000000-0005-0000-0000-0000BE000000}"/>
    <cellStyle name="Normal 110" xfId="191" xr:uid="{00000000-0005-0000-0000-0000BF000000}"/>
    <cellStyle name="Normal 111" xfId="192" xr:uid="{00000000-0005-0000-0000-0000C0000000}"/>
    <cellStyle name="Normal 112" xfId="193" xr:uid="{00000000-0005-0000-0000-0000C1000000}"/>
    <cellStyle name="Normal 113" xfId="194" xr:uid="{00000000-0005-0000-0000-0000C2000000}"/>
    <cellStyle name="Normal 114" xfId="195" xr:uid="{00000000-0005-0000-0000-0000C3000000}"/>
    <cellStyle name="Normal 115" xfId="196" xr:uid="{00000000-0005-0000-0000-0000C4000000}"/>
    <cellStyle name="Normal 116" xfId="197" xr:uid="{00000000-0005-0000-0000-0000C5000000}"/>
    <cellStyle name="Normal 117" xfId="198" xr:uid="{00000000-0005-0000-0000-0000C6000000}"/>
    <cellStyle name="Normal 118" xfId="199" xr:uid="{00000000-0005-0000-0000-0000C7000000}"/>
    <cellStyle name="Normal 119" xfId="200" xr:uid="{00000000-0005-0000-0000-0000C8000000}"/>
    <cellStyle name="Normal 12" xfId="201" xr:uid="{00000000-0005-0000-0000-0000C9000000}"/>
    <cellStyle name="Normal 12 2" xfId="202" xr:uid="{00000000-0005-0000-0000-0000CA000000}"/>
    <cellStyle name="Normal 12 3" xfId="203" xr:uid="{00000000-0005-0000-0000-0000CB000000}"/>
    <cellStyle name="Normal 120" xfId="204" xr:uid="{00000000-0005-0000-0000-0000CC000000}"/>
    <cellStyle name="Normal 121" xfId="205" xr:uid="{00000000-0005-0000-0000-0000CD000000}"/>
    <cellStyle name="Normal 122" xfId="206" xr:uid="{00000000-0005-0000-0000-0000CE000000}"/>
    <cellStyle name="Normal 123" xfId="207" xr:uid="{00000000-0005-0000-0000-0000CF000000}"/>
    <cellStyle name="Normal 124" xfId="208" xr:uid="{00000000-0005-0000-0000-0000D0000000}"/>
    <cellStyle name="Normal 125" xfId="209" xr:uid="{00000000-0005-0000-0000-0000D1000000}"/>
    <cellStyle name="Normal 126" xfId="210" xr:uid="{00000000-0005-0000-0000-0000D2000000}"/>
    <cellStyle name="Normal 127" xfId="211" xr:uid="{00000000-0005-0000-0000-0000D3000000}"/>
    <cellStyle name="Normal 128" xfId="212" xr:uid="{00000000-0005-0000-0000-0000D4000000}"/>
    <cellStyle name="Normal 129" xfId="213" xr:uid="{00000000-0005-0000-0000-0000D5000000}"/>
    <cellStyle name="Normal 13" xfId="214" xr:uid="{00000000-0005-0000-0000-0000D6000000}"/>
    <cellStyle name="Normal 13 2" xfId="215" xr:uid="{00000000-0005-0000-0000-0000D7000000}"/>
    <cellStyle name="Normal 13 3" xfId="216" xr:uid="{00000000-0005-0000-0000-0000D8000000}"/>
    <cellStyle name="Normal 130" xfId="217" xr:uid="{00000000-0005-0000-0000-0000D9000000}"/>
    <cellStyle name="Normal 131" xfId="218" xr:uid="{00000000-0005-0000-0000-0000DA000000}"/>
    <cellStyle name="Normal 132" xfId="219" xr:uid="{00000000-0005-0000-0000-0000DB000000}"/>
    <cellStyle name="Normal 133" xfId="220" xr:uid="{00000000-0005-0000-0000-0000DC000000}"/>
    <cellStyle name="Normal 134" xfId="221" xr:uid="{00000000-0005-0000-0000-0000DD000000}"/>
    <cellStyle name="Normal 135" xfId="222" xr:uid="{00000000-0005-0000-0000-0000DE000000}"/>
    <cellStyle name="Normal 136" xfId="223" xr:uid="{00000000-0005-0000-0000-0000DF000000}"/>
    <cellStyle name="Normal 137" xfId="224" xr:uid="{00000000-0005-0000-0000-0000E0000000}"/>
    <cellStyle name="Normal 138" xfId="225" xr:uid="{00000000-0005-0000-0000-0000E1000000}"/>
    <cellStyle name="Normal 139" xfId="226" xr:uid="{00000000-0005-0000-0000-0000E2000000}"/>
    <cellStyle name="Normal 14" xfId="227" xr:uid="{00000000-0005-0000-0000-0000E3000000}"/>
    <cellStyle name="Normal 14 2" xfId="228" xr:uid="{00000000-0005-0000-0000-0000E4000000}"/>
    <cellStyle name="Normal 14 3" xfId="229" xr:uid="{00000000-0005-0000-0000-0000E5000000}"/>
    <cellStyle name="Normal 15" xfId="230" xr:uid="{00000000-0005-0000-0000-0000E6000000}"/>
    <cellStyle name="Normal 15 2" xfId="231" xr:uid="{00000000-0005-0000-0000-0000E7000000}"/>
    <cellStyle name="Normal 15 3" xfId="232" xr:uid="{00000000-0005-0000-0000-0000E8000000}"/>
    <cellStyle name="Normal 16" xfId="233" xr:uid="{00000000-0005-0000-0000-0000E9000000}"/>
    <cellStyle name="Normal 16 2" xfId="234" xr:uid="{00000000-0005-0000-0000-0000EA000000}"/>
    <cellStyle name="Normal 16 3" xfId="235" xr:uid="{00000000-0005-0000-0000-0000EB000000}"/>
    <cellStyle name="Normal 17" xfId="236" xr:uid="{00000000-0005-0000-0000-0000EC000000}"/>
    <cellStyle name="Normal 17 2" xfId="237" xr:uid="{00000000-0005-0000-0000-0000ED000000}"/>
    <cellStyle name="Normal 18" xfId="238" xr:uid="{00000000-0005-0000-0000-0000EE000000}"/>
    <cellStyle name="Normal 18 2" xfId="239" xr:uid="{00000000-0005-0000-0000-0000EF000000}"/>
    <cellStyle name="Normal 18 3" xfId="240" xr:uid="{00000000-0005-0000-0000-0000F0000000}"/>
    <cellStyle name="Normal 18 4" xfId="241" xr:uid="{00000000-0005-0000-0000-0000F1000000}"/>
    <cellStyle name="Normal 19" xfId="242" xr:uid="{00000000-0005-0000-0000-0000F2000000}"/>
    <cellStyle name="Normal 2" xfId="243" xr:uid="{00000000-0005-0000-0000-0000F3000000}"/>
    <cellStyle name="Normal 2 2" xfId="244" xr:uid="{00000000-0005-0000-0000-0000F4000000}"/>
    <cellStyle name="Normal 2 2 2" xfId="245" xr:uid="{00000000-0005-0000-0000-0000F5000000}"/>
    <cellStyle name="Normal 2 2 3" xfId="246" xr:uid="{00000000-0005-0000-0000-0000F6000000}"/>
    <cellStyle name="Normal 2 2 4" xfId="247" xr:uid="{00000000-0005-0000-0000-0000F7000000}"/>
    <cellStyle name="Normal 2 3" xfId="248" xr:uid="{00000000-0005-0000-0000-0000F8000000}"/>
    <cellStyle name="Normal 2 4" xfId="249" xr:uid="{00000000-0005-0000-0000-0000F9000000}"/>
    <cellStyle name="Normal 2 5" xfId="250" xr:uid="{00000000-0005-0000-0000-0000FA000000}"/>
    <cellStyle name="Normal 2_Data" xfId="251" xr:uid="{00000000-0005-0000-0000-0000FB000000}"/>
    <cellStyle name="Normal 20" xfId="252" xr:uid="{00000000-0005-0000-0000-0000FC000000}"/>
    <cellStyle name="Normal 21" xfId="253" xr:uid="{00000000-0005-0000-0000-0000FD000000}"/>
    <cellStyle name="Normal 22" xfId="254" xr:uid="{00000000-0005-0000-0000-0000FE000000}"/>
    <cellStyle name="Normal 23" xfId="255" xr:uid="{00000000-0005-0000-0000-0000FF000000}"/>
    <cellStyle name="Normal 24" xfId="256" xr:uid="{00000000-0005-0000-0000-000000010000}"/>
    <cellStyle name="Normal 24 2" xfId="257" xr:uid="{00000000-0005-0000-0000-000001010000}"/>
    <cellStyle name="Normal 25" xfId="258" xr:uid="{00000000-0005-0000-0000-000002010000}"/>
    <cellStyle name="Normal 25 2" xfId="259" xr:uid="{00000000-0005-0000-0000-000003010000}"/>
    <cellStyle name="Normal 25 3" xfId="260" xr:uid="{00000000-0005-0000-0000-000004010000}"/>
    <cellStyle name="Normal 25 4" xfId="261" xr:uid="{00000000-0005-0000-0000-000005010000}"/>
    <cellStyle name="Normal 26" xfId="262" xr:uid="{00000000-0005-0000-0000-000006010000}"/>
    <cellStyle name="Normal 26 2" xfId="263" xr:uid="{00000000-0005-0000-0000-000007010000}"/>
    <cellStyle name="Normal 27" xfId="264" xr:uid="{00000000-0005-0000-0000-000008010000}"/>
    <cellStyle name="Normal 27 2" xfId="265" xr:uid="{00000000-0005-0000-0000-000009010000}"/>
    <cellStyle name="Normal 28" xfId="266" xr:uid="{00000000-0005-0000-0000-00000A010000}"/>
    <cellStyle name="Normal 28 2" xfId="267" xr:uid="{00000000-0005-0000-0000-00000B010000}"/>
    <cellStyle name="Normal 29" xfId="268" xr:uid="{00000000-0005-0000-0000-00000C010000}"/>
    <cellStyle name="Normal 29 2" xfId="269" xr:uid="{00000000-0005-0000-0000-00000D010000}"/>
    <cellStyle name="Normal 3" xfId="270" xr:uid="{00000000-0005-0000-0000-00000E010000}"/>
    <cellStyle name="Normal 3 2" xfId="271" xr:uid="{00000000-0005-0000-0000-00000F010000}"/>
    <cellStyle name="Normal 3 3" xfId="272" xr:uid="{00000000-0005-0000-0000-000010010000}"/>
    <cellStyle name="Normal 30" xfId="273" xr:uid="{00000000-0005-0000-0000-000011010000}"/>
    <cellStyle name="Normal 31" xfId="274" xr:uid="{00000000-0005-0000-0000-000012010000}"/>
    <cellStyle name="Normal 32" xfId="275" xr:uid="{00000000-0005-0000-0000-000013010000}"/>
    <cellStyle name="Normal 33" xfId="276" xr:uid="{00000000-0005-0000-0000-000014010000}"/>
    <cellStyle name="Normal 33 2" xfId="277" xr:uid="{00000000-0005-0000-0000-000015010000}"/>
    <cellStyle name="Normal 33 2 2" xfId="278" xr:uid="{00000000-0005-0000-0000-000016010000}"/>
    <cellStyle name="Normal 33 2 3" xfId="279" xr:uid="{00000000-0005-0000-0000-000017010000}"/>
    <cellStyle name="Normal 34" xfId="280" xr:uid="{00000000-0005-0000-0000-000018010000}"/>
    <cellStyle name="Normal 34 2" xfId="281" xr:uid="{00000000-0005-0000-0000-000019010000}"/>
    <cellStyle name="Normal 34 3" xfId="282" xr:uid="{00000000-0005-0000-0000-00001A010000}"/>
    <cellStyle name="Normal 35" xfId="283" xr:uid="{00000000-0005-0000-0000-00001B010000}"/>
    <cellStyle name="Normal 35 2" xfId="284" xr:uid="{00000000-0005-0000-0000-00001C010000}"/>
    <cellStyle name="Normal 35 3" xfId="285" xr:uid="{00000000-0005-0000-0000-00001D010000}"/>
    <cellStyle name="Normal 36" xfId="286" xr:uid="{00000000-0005-0000-0000-00001E010000}"/>
    <cellStyle name="Normal 36 2" xfId="287" xr:uid="{00000000-0005-0000-0000-00001F010000}"/>
    <cellStyle name="Normal 36 3" xfId="288" xr:uid="{00000000-0005-0000-0000-000020010000}"/>
    <cellStyle name="Normal 37" xfId="289" xr:uid="{00000000-0005-0000-0000-000021010000}"/>
    <cellStyle name="Normal 37 2" xfId="290" xr:uid="{00000000-0005-0000-0000-000022010000}"/>
    <cellStyle name="Normal 37 3" xfId="291" xr:uid="{00000000-0005-0000-0000-000023010000}"/>
    <cellStyle name="Normal 38" xfId="292" xr:uid="{00000000-0005-0000-0000-000024010000}"/>
    <cellStyle name="Normal 38 2" xfId="293" xr:uid="{00000000-0005-0000-0000-000025010000}"/>
    <cellStyle name="Normal 38 3" xfId="294" xr:uid="{00000000-0005-0000-0000-000026010000}"/>
    <cellStyle name="Normal 39" xfId="295" xr:uid="{00000000-0005-0000-0000-000027010000}"/>
    <cellStyle name="Normal 39 2" xfId="296" xr:uid="{00000000-0005-0000-0000-000028010000}"/>
    <cellStyle name="Normal 39 3" xfId="297" xr:uid="{00000000-0005-0000-0000-000029010000}"/>
    <cellStyle name="Normal 4" xfId="298" xr:uid="{00000000-0005-0000-0000-00002A010000}"/>
    <cellStyle name="Normal 4 2" xfId="299" xr:uid="{00000000-0005-0000-0000-00002B010000}"/>
    <cellStyle name="Normal 40" xfId="300" xr:uid="{00000000-0005-0000-0000-00002C010000}"/>
    <cellStyle name="Normal 40 2" xfId="301" xr:uid="{00000000-0005-0000-0000-00002D010000}"/>
    <cellStyle name="Normal 40 3" xfId="302" xr:uid="{00000000-0005-0000-0000-00002E010000}"/>
    <cellStyle name="Normal 40 4" xfId="303" xr:uid="{00000000-0005-0000-0000-00002F010000}"/>
    <cellStyle name="Normal 41" xfId="304" xr:uid="{00000000-0005-0000-0000-000030010000}"/>
    <cellStyle name="Normal 42" xfId="305" xr:uid="{00000000-0005-0000-0000-000031010000}"/>
    <cellStyle name="Normal 43" xfId="306" xr:uid="{00000000-0005-0000-0000-000032010000}"/>
    <cellStyle name="Normal 44" xfId="307" xr:uid="{00000000-0005-0000-0000-000033010000}"/>
    <cellStyle name="Normal 45" xfId="308" xr:uid="{00000000-0005-0000-0000-000034010000}"/>
    <cellStyle name="Normal 46" xfId="309" xr:uid="{00000000-0005-0000-0000-000035010000}"/>
    <cellStyle name="Normal 47" xfId="310" xr:uid="{00000000-0005-0000-0000-000036010000}"/>
    <cellStyle name="Normal 48" xfId="311" xr:uid="{00000000-0005-0000-0000-000037010000}"/>
    <cellStyle name="Normal 49" xfId="312" xr:uid="{00000000-0005-0000-0000-000038010000}"/>
    <cellStyle name="Normal 5" xfId="313" xr:uid="{00000000-0005-0000-0000-000039010000}"/>
    <cellStyle name="Normal 5 2" xfId="314" xr:uid="{00000000-0005-0000-0000-00003A010000}"/>
    <cellStyle name="Normal 5 3" xfId="315" xr:uid="{00000000-0005-0000-0000-00003B010000}"/>
    <cellStyle name="Normal 5 3 2" xfId="316" xr:uid="{00000000-0005-0000-0000-00003C010000}"/>
    <cellStyle name="Normal 5 4" xfId="317" xr:uid="{00000000-0005-0000-0000-00003D010000}"/>
    <cellStyle name="Normal 5 4 2" xfId="318" xr:uid="{00000000-0005-0000-0000-00003E010000}"/>
    <cellStyle name="Normal 5 5" xfId="319" xr:uid="{00000000-0005-0000-0000-00003F010000}"/>
    <cellStyle name="Normal 5 6" xfId="320" xr:uid="{00000000-0005-0000-0000-000040010000}"/>
    <cellStyle name="Normal 5 7" xfId="321" xr:uid="{00000000-0005-0000-0000-000041010000}"/>
    <cellStyle name="Normal 50" xfId="322" xr:uid="{00000000-0005-0000-0000-000042010000}"/>
    <cellStyle name="Normal 51" xfId="323" xr:uid="{00000000-0005-0000-0000-000043010000}"/>
    <cellStyle name="Normal 52" xfId="324" xr:uid="{00000000-0005-0000-0000-000044010000}"/>
    <cellStyle name="Normal 53" xfId="325" xr:uid="{00000000-0005-0000-0000-000045010000}"/>
    <cellStyle name="Normal 54" xfId="326" xr:uid="{00000000-0005-0000-0000-000046010000}"/>
    <cellStyle name="Normal 55" xfId="327" xr:uid="{00000000-0005-0000-0000-000047010000}"/>
    <cellStyle name="Normal 56" xfId="328" xr:uid="{00000000-0005-0000-0000-000048010000}"/>
    <cellStyle name="Normal 57" xfId="329" xr:uid="{00000000-0005-0000-0000-000049010000}"/>
    <cellStyle name="Normal 58" xfId="330" xr:uid="{00000000-0005-0000-0000-00004A010000}"/>
    <cellStyle name="Normal 59" xfId="331" xr:uid="{00000000-0005-0000-0000-00004B010000}"/>
    <cellStyle name="Normal 59 2" xfId="332" xr:uid="{00000000-0005-0000-0000-00004C010000}"/>
    <cellStyle name="Normal 59 3" xfId="333" xr:uid="{00000000-0005-0000-0000-00004D010000}"/>
    <cellStyle name="Normal 6" xfId="334" xr:uid="{00000000-0005-0000-0000-00004E010000}"/>
    <cellStyle name="Normal 6 2" xfId="335" xr:uid="{00000000-0005-0000-0000-00004F010000}"/>
    <cellStyle name="Normal 60" xfId="336" xr:uid="{00000000-0005-0000-0000-000050010000}"/>
    <cellStyle name="Normal 61" xfId="337" xr:uid="{00000000-0005-0000-0000-000051010000}"/>
    <cellStyle name="Normal 61 2" xfId="338" xr:uid="{00000000-0005-0000-0000-000052010000}"/>
    <cellStyle name="Normal 61 3" xfId="339" xr:uid="{00000000-0005-0000-0000-000053010000}"/>
    <cellStyle name="Normal 62" xfId="340" xr:uid="{00000000-0005-0000-0000-000054010000}"/>
    <cellStyle name="Normal 62 2" xfId="341" xr:uid="{00000000-0005-0000-0000-000055010000}"/>
    <cellStyle name="Normal 62 3" xfId="342" xr:uid="{00000000-0005-0000-0000-000056010000}"/>
    <cellStyle name="Normal 63" xfId="343" xr:uid="{00000000-0005-0000-0000-000057010000}"/>
    <cellStyle name="Normal 63 2" xfId="344" xr:uid="{00000000-0005-0000-0000-000058010000}"/>
    <cellStyle name="Normal 63 3" xfId="345" xr:uid="{00000000-0005-0000-0000-000059010000}"/>
    <cellStyle name="Normal 64" xfId="346" xr:uid="{00000000-0005-0000-0000-00005A010000}"/>
    <cellStyle name="Normal 64 2" xfId="347" xr:uid="{00000000-0005-0000-0000-00005B010000}"/>
    <cellStyle name="Normal 64 3" xfId="348" xr:uid="{00000000-0005-0000-0000-00005C010000}"/>
    <cellStyle name="Normal 65" xfId="349" xr:uid="{00000000-0005-0000-0000-00005D010000}"/>
    <cellStyle name="Normal 65 2" xfId="350" xr:uid="{00000000-0005-0000-0000-00005E010000}"/>
    <cellStyle name="Normal 65 3" xfId="351" xr:uid="{00000000-0005-0000-0000-00005F010000}"/>
    <cellStyle name="Normal 66" xfId="352" xr:uid="{00000000-0005-0000-0000-000060010000}"/>
    <cellStyle name="Normal 66 2" xfId="353" xr:uid="{00000000-0005-0000-0000-000061010000}"/>
    <cellStyle name="Normal 66 3" xfId="354" xr:uid="{00000000-0005-0000-0000-000062010000}"/>
    <cellStyle name="Normal 67" xfId="355" xr:uid="{00000000-0005-0000-0000-000063010000}"/>
    <cellStyle name="Normal 67 2" xfId="356" xr:uid="{00000000-0005-0000-0000-000064010000}"/>
    <cellStyle name="Normal 67 3" xfId="357" xr:uid="{00000000-0005-0000-0000-000065010000}"/>
    <cellStyle name="Normal 68" xfId="358" xr:uid="{00000000-0005-0000-0000-000066010000}"/>
    <cellStyle name="Normal 68 2" xfId="359" xr:uid="{00000000-0005-0000-0000-000067010000}"/>
    <cellStyle name="Normal 68 3" xfId="360" xr:uid="{00000000-0005-0000-0000-000068010000}"/>
    <cellStyle name="Normal 69" xfId="361" xr:uid="{00000000-0005-0000-0000-000069010000}"/>
    <cellStyle name="Normal 69 2" xfId="362" xr:uid="{00000000-0005-0000-0000-00006A010000}"/>
    <cellStyle name="Normal 69 3" xfId="363" xr:uid="{00000000-0005-0000-0000-00006B010000}"/>
    <cellStyle name="Normal 7" xfId="364" xr:uid="{00000000-0005-0000-0000-00006C010000}"/>
    <cellStyle name="Normal 7 2" xfId="365" xr:uid="{00000000-0005-0000-0000-00006D010000}"/>
    <cellStyle name="Normal 7 3" xfId="366" xr:uid="{00000000-0005-0000-0000-00006E010000}"/>
    <cellStyle name="Normal 7 4" xfId="367" xr:uid="{00000000-0005-0000-0000-00006F010000}"/>
    <cellStyle name="Normal 70" xfId="368" xr:uid="{00000000-0005-0000-0000-000070010000}"/>
    <cellStyle name="Normal 70 2" xfId="369" xr:uid="{00000000-0005-0000-0000-000071010000}"/>
    <cellStyle name="Normal 70 3" xfId="370" xr:uid="{00000000-0005-0000-0000-000072010000}"/>
    <cellStyle name="Normal 71" xfId="371" xr:uid="{00000000-0005-0000-0000-000073010000}"/>
    <cellStyle name="Normal 71 2" xfId="372" xr:uid="{00000000-0005-0000-0000-000074010000}"/>
    <cellStyle name="Normal 71 3" xfId="373" xr:uid="{00000000-0005-0000-0000-000075010000}"/>
    <cellStyle name="Normal 72" xfId="374" xr:uid="{00000000-0005-0000-0000-000076010000}"/>
    <cellStyle name="Normal 72 2" xfId="375" xr:uid="{00000000-0005-0000-0000-000077010000}"/>
    <cellStyle name="Normal 72 3" xfId="376" xr:uid="{00000000-0005-0000-0000-000078010000}"/>
    <cellStyle name="Normal 73" xfId="377" xr:uid="{00000000-0005-0000-0000-000079010000}"/>
    <cellStyle name="Normal 73 2" xfId="378" xr:uid="{00000000-0005-0000-0000-00007A010000}"/>
    <cellStyle name="Normal 73 3" xfId="379" xr:uid="{00000000-0005-0000-0000-00007B010000}"/>
    <cellStyle name="Normal 74" xfId="380" xr:uid="{00000000-0005-0000-0000-00007C010000}"/>
    <cellStyle name="Normal 74 2" xfId="381" xr:uid="{00000000-0005-0000-0000-00007D010000}"/>
    <cellStyle name="Normal 74 3" xfId="382" xr:uid="{00000000-0005-0000-0000-00007E010000}"/>
    <cellStyle name="Normal 75" xfId="383" xr:uid="{00000000-0005-0000-0000-00007F010000}"/>
    <cellStyle name="Normal 75 2" xfId="384" xr:uid="{00000000-0005-0000-0000-000080010000}"/>
    <cellStyle name="Normal 75 3" xfId="385" xr:uid="{00000000-0005-0000-0000-000081010000}"/>
    <cellStyle name="Normal 76" xfId="386" xr:uid="{00000000-0005-0000-0000-000082010000}"/>
    <cellStyle name="Normal 76 2" xfId="387" xr:uid="{00000000-0005-0000-0000-000083010000}"/>
    <cellStyle name="Normal 76 3" xfId="388" xr:uid="{00000000-0005-0000-0000-000084010000}"/>
    <cellStyle name="Normal 77" xfId="389" xr:uid="{00000000-0005-0000-0000-000085010000}"/>
    <cellStyle name="Normal 77 2" xfId="390" xr:uid="{00000000-0005-0000-0000-000086010000}"/>
    <cellStyle name="Normal 77 3" xfId="391" xr:uid="{00000000-0005-0000-0000-000087010000}"/>
    <cellStyle name="Normal 78" xfId="392" xr:uid="{00000000-0005-0000-0000-000088010000}"/>
    <cellStyle name="Normal 79" xfId="393" xr:uid="{00000000-0005-0000-0000-000089010000}"/>
    <cellStyle name="Normal 8" xfId="394" xr:uid="{00000000-0005-0000-0000-00008A010000}"/>
    <cellStyle name="Normal 8 2" xfId="395" xr:uid="{00000000-0005-0000-0000-00008B010000}"/>
    <cellStyle name="Normal 8 3" xfId="396" xr:uid="{00000000-0005-0000-0000-00008C010000}"/>
    <cellStyle name="Normal 80" xfId="397" xr:uid="{00000000-0005-0000-0000-00008D010000}"/>
    <cellStyle name="Normal 81" xfId="398" xr:uid="{00000000-0005-0000-0000-00008E010000}"/>
    <cellStyle name="Normal 82" xfId="399" xr:uid="{00000000-0005-0000-0000-00008F010000}"/>
    <cellStyle name="Normal 83" xfId="400" xr:uid="{00000000-0005-0000-0000-000090010000}"/>
    <cellStyle name="Normal 84" xfId="401" xr:uid="{00000000-0005-0000-0000-000091010000}"/>
    <cellStyle name="Normal 85" xfId="402" xr:uid="{00000000-0005-0000-0000-000092010000}"/>
    <cellStyle name="Normal 86" xfId="403" xr:uid="{00000000-0005-0000-0000-000093010000}"/>
    <cellStyle name="Normal 87" xfId="404" xr:uid="{00000000-0005-0000-0000-000094010000}"/>
    <cellStyle name="Normal 88" xfId="405" xr:uid="{00000000-0005-0000-0000-000095010000}"/>
    <cellStyle name="Normal 89" xfId="406" xr:uid="{00000000-0005-0000-0000-000096010000}"/>
    <cellStyle name="Normal 9" xfId="407" xr:uid="{00000000-0005-0000-0000-000097010000}"/>
    <cellStyle name="Normal 9 2" xfId="408" xr:uid="{00000000-0005-0000-0000-000098010000}"/>
    <cellStyle name="Normal 9 3" xfId="409" xr:uid="{00000000-0005-0000-0000-000099010000}"/>
    <cellStyle name="Normal 90" xfId="410" xr:uid="{00000000-0005-0000-0000-00009A010000}"/>
    <cellStyle name="Normal 91" xfId="411" xr:uid="{00000000-0005-0000-0000-00009B010000}"/>
    <cellStyle name="Normal 92" xfId="412" xr:uid="{00000000-0005-0000-0000-00009C010000}"/>
    <cellStyle name="Normal 93" xfId="413" xr:uid="{00000000-0005-0000-0000-00009D010000}"/>
    <cellStyle name="Normal 94" xfId="414" xr:uid="{00000000-0005-0000-0000-00009E010000}"/>
    <cellStyle name="Normal 95" xfId="415" xr:uid="{00000000-0005-0000-0000-00009F010000}"/>
    <cellStyle name="Normal 96" xfId="416" xr:uid="{00000000-0005-0000-0000-0000A0010000}"/>
    <cellStyle name="Normal 97" xfId="417" xr:uid="{00000000-0005-0000-0000-0000A1010000}"/>
    <cellStyle name="Normal 98" xfId="418" xr:uid="{00000000-0005-0000-0000-0000A2010000}"/>
    <cellStyle name="Normal 99" xfId="419" xr:uid="{00000000-0005-0000-0000-0000A3010000}"/>
    <cellStyle name="Normal_Sheet3" xfId="621" xr:uid="{00000000-0005-0000-0000-0000A4010000}"/>
    <cellStyle name="Note 2" xfId="420" xr:uid="{00000000-0005-0000-0000-0000A5010000}"/>
    <cellStyle name="Note 2 2" xfId="421" xr:uid="{00000000-0005-0000-0000-0000A6010000}"/>
    <cellStyle name="Note 3" xfId="422" xr:uid="{00000000-0005-0000-0000-0000A7010000}"/>
    <cellStyle name="Note 4" xfId="423" xr:uid="{00000000-0005-0000-0000-0000A8010000}"/>
    <cellStyle name="Output 2" xfId="424" xr:uid="{00000000-0005-0000-0000-0000A9010000}"/>
    <cellStyle name="Output 2 2" xfId="425" xr:uid="{00000000-0005-0000-0000-0000AA010000}"/>
    <cellStyle name="Output 3" xfId="426" xr:uid="{00000000-0005-0000-0000-0000AB010000}"/>
    <cellStyle name="Output Amounts" xfId="427" xr:uid="{00000000-0005-0000-0000-0000AC010000}"/>
    <cellStyle name="Output Column Headings" xfId="428" xr:uid="{00000000-0005-0000-0000-0000AD010000}"/>
    <cellStyle name="Output Line Items" xfId="429" xr:uid="{00000000-0005-0000-0000-0000AE010000}"/>
    <cellStyle name="Output Report Heading" xfId="430" xr:uid="{00000000-0005-0000-0000-0000AF010000}"/>
    <cellStyle name="Output Report Title" xfId="431" xr:uid="{00000000-0005-0000-0000-0000B0010000}"/>
    <cellStyle name="Percent [2]" xfId="432" xr:uid="{00000000-0005-0000-0000-0000B1010000}"/>
    <cellStyle name="Percent 10" xfId="433" xr:uid="{00000000-0005-0000-0000-0000B2010000}"/>
    <cellStyle name="Percent 10 2" xfId="434" xr:uid="{00000000-0005-0000-0000-0000B3010000}"/>
    <cellStyle name="Percent 10 2 2" xfId="435" xr:uid="{00000000-0005-0000-0000-0000B4010000}"/>
    <cellStyle name="Percent 10 2 3" xfId="436" xr:uid="{00000000-0005-0000-0000-0000B5010000}"/>
    <cellStyle name="Percent 10 3" xfId="437" xr:uid="{00000000-0005-0000-0000-0000B6010000}"/>
    <cellStyle name="Percent 11" xfId="438" xr:uid="{00000000-0005-0000-0000-0000B7010000}"/>
    <cellStyle name="Percent 11 2" xfId="439" xr:uid="{00000000-0005-0000-0000-0000B8010000}"/>
    <cellStyle name="Percent 11 2 2" xfId="440" xr:uid="{00000000-0005-0000-0000-0000B9010000}"/>
    <cellStyle name="Percent 11 2 3" xfId="441" xr:uid="{00000000-0005-0000-0000-0000BA010000}"/>
    <cellStyle name="Percent 11 3" xfId="442" xr:uid="{00000000-0005-0000-0000-0000BB010000}"/>
    <cellStyle name="Percent 12" xfId="443" xr:uid="{00000000-0005-0000-0000-0000BC010000}"/>
    <cellStyle name="Percent 12 2" xfId="444" xr:uid="{00000000-0005-0000-0000-0000BD010000}"/>
    <cellStyle name="Percent 12 3" xfId="445" xr:uid="{00000000-0005-0000-0000-0000BE010000}"/>
    <cellStyle name="Percent 12 4" xfId="446" xr:uid="{00000000-0005-0000-0000-0000BF010000}"/>
    <cellStyle name="Percent 13" xfId="447" xr:uid="{00000000-0005-0000-0000-0000C0010000}"/>
    <cellStyle name="Percent 13 2" xfId="448" xr:uid="{00000000-0005-0000-0000-0000C1010000}"/>
    <cellStyle name="Percent 13 3" xfId="449" xr:uid="{00000000-0005-0000-0000-0000C2010000}"/>
    <cellStyle name="Percent 13 4" xfId="450" xr:uid="{00000000-0005-0000-0000-0000C3010000}"/>
    <cellStyle name="Percent 14" xfId="451" xr:uid="{00000000-0005-0000-0000-0000C4010000}"/>
    <cellStyle name="Percent 14 2" xfId="452" xr:uid="{00000000-0005-0000-0000-0000C5010000}"/>
    <cellStyle name="Percent 14 3" xfId="453" xr:uid="{00000000-0005-0000-0000-0000C6010000}"/>
    <cellStyle name="Percent 14 4" xfId="454" xr:uid="{00000000-0005-0000-0000-0000C7010000}"/>
    <cellStyle name="Percent 15" xfId="455" xr:uid="{00000000-0005-0000-0000-0000C8010000}"/>
    <cellStyle name="Percent 15 2" xfId="456" xr:uid="{00000000-0005-0000-0000-0000C9010000}"/>
    <cellStyle name="Percent 15 3" xfId="457" xr:uid="{00000000-0005-0000-0000-0000CA010000}"/>
    <cellStyle name="Percent 15 4" xfId="458" xr:uid="{00000000-0005-0000-0000-0000CB010000}"/>
    <cellStyle name="Percent 16" xfId="459" xr:uid="{00000000-0005-0000-0000-0000CC010000}"/>
    <cellStyle name="Percent 16 2" xfId="460" xr:uid="{00000000-0005-0000-0000-0000CD010000}"/>
    <cellStyle name="Percent 16 3" xfId="461" xr:uid="{00000000-0005-0000-0000-0000CE010000}"/>
    <cellStyle name="Percent 16 4" xfId="462" xr:uid="{00000000-0005-0000-0000-0000CF010000}"/>
    <cellStyle name="Percent 17" xfId="463" xr:uid="{00000000-0005-0000-0000-0000D0010000}"/>
    <cellStyle name="Percent 17 2" xfId="464" xr:uid="{00000000-0005-0000-0000-0000D1010000}"/>
    <cellStyle name="Percent 18" xfId="465" xr:uid="{00000000-0005-0000-0000-0000D2010000}"/>
    <cellStyle name="Percent 19" xfId="466" xr:uid="{00000000-0005-0000-0000-0000D3010000}"/>
    <cellStyle name="Percent 2" xfId="467" xr:uid="{00000000-0005-0000-0000-0000D4010000}"/>
    <cellStyle name="Percent 20" xfId="468" xr:uid="{00000000-0005-0000-0000-0000D5010000}"/>
    <cellStyle name="Percent 20 2" xfId="469" xr:uid="{00000000-0005-0000-0000-0000D6010000}"/>
    <cellStyle name="Percent 21" xfId="470" xr:uid="{00000000-0005-0000-0000-0000D7010000}"/>
    <cellStyle name="Percent 22" xfId="471" xr:uid="{00000000-0005-0000-0000-0000D8010000}"/>
    <cellStyle name="Percent 23" xfId="472" xr:uid="{00000000-0005-0000-0000-0000D9010000}"/>
    <cellStyle name="Percent 24" xfId="473" xr:uid="{00000000-0005-0000-0000-0000DA010000}"/>
    <cellStyle name="Percent 25" xfId="474" xr:uid="{00000000-0005-0000-0000-0000DB010000}"/>
    <cellStyle name="Percent 26" xfId="475" xr:uid="{00000000-0005-0000-0000-0000DC010000}"/>
    <cellStyle name="Percent 27" xfId="476" xr:uid="{00000000-0005-0000-0000-0000DD010000}"/>
    <cellStyle name="Percent 28" xfId="477" xr:uid="{00000000-0005-0000-0000-0000DE010000}"/>
    <cellStyle name="Percent 29" xfId="478" xr:uid="{00000000-0005-0000-0000-0000DF010000}"/>
    <cellStyle name="Percent 3" xfId="479" xr:uid="{00000000-0005-0000-0000-0000E0010000}"/>
    <cellStyle name="Percent 30" xfId="480" xr:uid="{00000000-0005-0000-0000-0000E1010000}"/>
    <cellStyle name="Percent 31" xfId="481" xr:uid="{00000000-0005-0000-0000-0000E2010000}"/>
    <cellStyle name="Percent 32" xfId="482" xr:uid="{00000000-0005-0000-0000-0000E3010000}"/>
    <cellStyle name="Percent 33" xfId="483" xr:uid="{00000000-0005-0000-0000-0000E4010000}"/>
    <cellStyle name="Percent 34" xfId="484" xr:uid="{00000000-0005-0000-0000-0000E5010000}"/>
    <cellStyle name="Percent 35" xfId="485" xr:uid="{00000000-0005-0000-0000-0000E6010000}"/>
    <cellStyle name="Percent 36" xfId="486" xr:uid="{00000000-0005-0000-0000-0000E7010000}"/>
    <cellStyle name="Percent 37" xfId="487" xr:uid="{00000000-0005-0000-0000-0000E8010000}"/>
    <cellStyle name="Percent 38" xfId="488" xr:uid="{00000000-0005-0000-0000-0000E9010000}"/>
    <cellStyle name="Percent 39" xfId="489" xr:uid="{00000000-0005-0000-0000-0000EA010000}"/>
    <cellStyle name="Percent 39 2" xfId="490" xr:uid="{00000000-0005-0000-0000-0000EB010000}"/>
    <cellStyle name="Percent 39 3" xfId="491" xr:uid="{00000000-0005-0000-0000-0000EC010000}"/>
    <cellStyle name="Percent 39 4" xfId="492" xr:uid="{00000000-0005-0000-0000-0000ED010000}"/>
    <cellStyle name="Percent 4" xfId="493" xr:uid="{00000000-0005-0000-0000-0000EE010000}"/>
    <cellStyle name="Percent 40" xfId="494" xr:uid="{00000000-0005-0000-0000-0000EF010000}"/>
    <cellStyle name="Percent 41" xfId="495" xr:uid="{00000000-0005-0000-0000-0000F0010000}"/>
    <cellStyle name="Percent 42" xfId="496" xr:uid="{00000000-0005-0000-0000-0000F1010000}"/>
    <cellStyle name="Percent 43" xfId="497" xr:uid="{00000000-0005-0000-0000-0000F2010000}"/>
    <cellStyle name="Percent 44" xfId="498" xr:uid="{00000000-0005-0000-0000-0000F3010000}"/>
    <cellStyle name="Percent 45" xfId="499" xr:uid="{00000000-0005-0000-0000-0000F4010000}"/>
    <cellStyle name="Percent 46" xfId="500" xr:uid="{00000000-0005-0000-0000-0000F5010000}"/>
    <cellStyle name="Percent 47" xfId="501" xr:uid="{00000000-0005-0000-0000-0000F6010000}"/>
    <cellStyle name="Percent 48" xfId="502" xr:uid="{00000000-0005-0000-0000-0000F7010000}"/>
    <cellStyle name="Percent 49" xfId="503" xr:uid="{00000000-0005-0000-0000-0000F8010000}"/>
    <cellStyle name="Percent 5" xfId="504" xr:uid="{00000000-0005-0000-0000-0000F9010000}"/>
    <cellStyle name="Percent 50" xfId="505" xr:uid="{00000000-0005-0000-0000-0000FA010000}"/>
    <cellStyle name="Percent 51" xfId="506" xr:uid="{00000000-0005-0000-0000-0000FB010000}"/>
    <cellStyle name="Percent 52" xfId="507" xr:uid="{00000000-0005-0000-0000-0000FC010000}"/>
    <cellStyle name="Percent 53" xfId="508" xr:uid="{00000000-0005-0000-0000-0000FD010000}"/>
    <cellStyle name="Percent 54" xfId="509" xr:uid="{00000000-0005-0000-0000-0000FE010000}"/>
    <cellStyle name="Percent 55" xfId="510" xr:uid="{00000000-0005-0000-0000-0000FF010000}"/>
    <cellStyle name="Percent 56" xfId="511" xr:uid="{00000000-0005-0000-0000-000000020000}"/>
    <cellStyle name="Percent 57" xfId="512" xr:uid="{00000000-0005-0000-0000-000001020000}"/>
    <cellStyle name="Percent 58" xfId="513" xr:uid="{00000000-0005-0000-0000-000002020000}"/>
    <cellStyle name="Percent 59" xfId="514" xr:uid="{00000000-0005-0000-0000-000003020000}"/>
    <cellStyle name="Percent 6" xfId="515" xr:uid="{00000000-0005-0000-0000-000004020000}"/>
    <cellStyle name="Percent 60" xfId="516" xr:uid="{00000000-0005-0000-0000-000005020000}"/>
    <cellStyle name="Percent 61" xfId="517" xr:uid="{00000000-0005-0000-0000-000006020000}"/>
    <cellStyle name="Percent 62" xfId="518" xr:uid="{00000000-0005-0000-0000-000007020000}"/>
    <cellStyle name="Percent 63" xfId="519" xr:uid="{00000000-0005-0000-0000-000008020000}"/>
    <cellStyle name="Percent 64" xfId="520" xr:uid="{00000000-0005-0000-0000-000009020000}"/>
    <cellStyle name="Percent 65" xfId="521" xr:uid="{00000000-0005-0000-0000-00000A020000}"/>
    <cellStyle name="Percent 66" xfId="522" xr:uid="{00000000-0005-0000-0000-00000B020000}"/>
    <cellStyle name="Percent 67" xfId="523" xr:uid="{00000000-0005-0000-0000-00000C020000}"/>
    <cellStyle name="Percent 68" xfId="524" xr:uid="{00000000-0005-0000-0000-00000D020000}"/>
    <cellStyle name="Percent 69" xfId="525" xr:uid="{00000000-0005-0000-0000-00000E020000}"/>
    <cellStyle name="Percent 7" xfId="526" xr:uid="{00000000-0005-0000-0000-00000F020000}"/>
    <cellStyle name="Percent 7 2" xfId="527" xr:uid="{00000000-0005-0000-0000-000010020000}"/>
    <cellStyle name="Percent 7 3" xfId="528" xr:uid="{00000000-0005-0000-0000-000011020000}"/>
    <cellStyle name="Percent 70" xfId="529" xr:uid="{00000000-0005-0000-0000-000012020000}"/>
    <cellStyle name="Percent 71" xfId="530" xr:uid="{00000000-0005-0000-0000-000013020000}"/>
    <cellStyle name="Percent 72" xfId="531" xr:uid="{00000000-0005-0000-0000-000014020000}"/>
    <cellStyle name="Percent 73" xfId="532" xr:uid="{00000000-0005-0000-0000-000015020000}"/>
    <cellStyle name="Percent 74" xfId="533" xr:uid="{00000000-0005-0000-0000-000016020000}"/>
    <cellStyle name="Percent 8" xfId="534" xr:uid="{00000000-0005-0000-0000-000017020000}"/>
    <cellStyle name="Percent 8 2" xfId="535" xr:uid="{00000000-0005-0000-0000-000018020000}"/>
    <cellStyle name="Percent 8 3" xfId="536" xr:uid="{00000000-0005-0000-0000-000019020000}"/>
    <cellStyle name="Percent 9" xfId="537" xr:uid="{00000000-0005-0000-0000-00001A020000}"/>
    <cellStyle name="Percent 9 2" xfId="538" xr:uid="{00000000-0005-0000-0000-00001B020000}"/>
    <cellStyle name="Percent 9 3" xfId="539" xr:uid="{00000000-0005-0000-0000-00001C020000}"/>
    <cellStyle name="Pourcentage 2" xfId="540" xr:uid="{00000000-0005-0000-0000-00001D020000}"/>
    <cellStyle name="SAPBorder" xfId="541" xr:uid="{00000000-0005-0000-0000-00001E020000}"/>
    <cellStyle name="SAPBorder 2" xfId="542" xr:uid="{00000000-0005-0000-0000-00001F020000}"/>
    <cellStyle name="SAPDataCell" xfId="543" xr:uid="{00000000-0005-0000-0000-000020020000}"/>
    <cellStyle name="SAPDataTotalCell" xfId="544" xr:uid="{00000000-0005-0000-0000-000021020000}"/>
    <cellStyle name="SAPDimensionCell" xfId="545" xr:uid="{00000000-0005-0000-0000-000022020000}"/>
    <cellStyle name="SAPDimensionCell 2" xfId="546" xr:uid="{00000000-0005-0000-0000-000023020000}"/>
    <cellStyle name="SAPEditableDataCell" xfId="547" xr:uid="{00000000-0005-0000-0000-000024020000}"/>
    <cellStyle name="SAPEditableDataCell 2" xfId="548" xr:uid="{00000000-0005-0000-0000-000025020000}"/>
    <cellStyle name="SAPEditableDataTotalCell" xfId="549" xr:uid="{00000000-0005-0000-0000-000026020000}"/>
    <cellStyle name="SAPEditableDataTotalCell 2" xfId="550" xr:uid="{00000000-0005-0000-0000-000027020000}"/>
    <cellStyle name="SAPEmphasized" xfId="551" xr:uid="{00000000-0005-0000-0000-000028020000}"/>
    <cellStyle name="SAPEmphasized 2" xfId="552" xr:uid="{00000000-0005-0000-0000-000029020000}"/>
    <cellStyle name="SAPEmphasizedEditableDataCell" xfId="553" xr:uid="{00000000-0005-0000-0000-00002A020000}"/>
    <cellStyle name="SAPEmphasizedEditableDataCell 2" xfId="554" xr:uid="{00000000-0005-0000-0000-00002B020000}"/>
    <cellStyle name="SAPEmphasizedEditableDataTotalCell" xfId="555" xr:uid="{00000000-0005-0000-0000-00002C020000}"/>
    <cellStyle name="SAPEmphasizedEditableDataTotalCell 2" xfId="556" xr:uid="{00000000-0005-0000-0000-00002D020000}"/>
    <cellStyle name="SAPEmphasizedLockedDataCell" xfId="557" xr:uid="{00000000-0005-0000-0000-00002E020000}"/>
    <cellStyle name="SAPEmphasizedLockedDataTotalCell" xfId="558" xr:uid="{00000000-0005-0000-0000-00002F020000}"/>
    <cellStyle name="SAPEmphasizedReadonlyDataCell" xfId="559" xr:uid="{00000000-0005-0000-0000-000030020000}"/>
    <cellStyle name="SAPEmphasizedReadonlyDataCell 2" xfId="560" xr:uid="{00000000-0005-0000-0000-000031020000}"/>
    <cellStyle name="SAPEmphasizedReadonlyDataTotalCell" xfId="561" xr:uid="{00000000-0005-0000-0000-000032020000}"/>
    <cellStyle name="SAPEmphasizedTotal" xfId="562" xr:uid="{00000000-0005-0000-0000-000033020000}"/>
    <cellStyle name="SAPExceptionLevel1" xfId="563" xr:uid="{00000000-0005-0000-0000-000034020000}"/>
    <cellStyle name="SAPExceptionLevel1 2" xfId="564" xr:uid="{00000000-0005-0000-0000-000035020000}"/>
    <cellStyle name="SAPExceptionLevel2" xfId="565" xr:uid="{00000000-0005-0000-0000-000036020000}"/>
    <cellStyle name="SAPExceptionLevel2 2" xfId="566" xr:uid="{00000000-0005-0000-0000-000037020000}"/>
    <cellStyle name="SAPExceptionLevel3" xfId="567" xr:uid="{00000000-0005-0000-0000-000038020000}"/>
    <cellStyle name="SAPExceptionLevel3 2" xfId="568" xr:uid="{00000000-0005-0000-0000-000039020000}"/>
    <cellStyle name="SAPExceptionLevel4" xfId="569" xr:uid="{00000000-0005-0000-0000-00003A020000}"/>
    <cellStyle name="SAPExceptionLevel4 2" xfId="570" xr:uid="{00000000-0005-0000-0000-00003B020000}"/>
    <cellStyle name="SAPExceptionLevel5" xfId="571" xr:uid="{00000000-0005-0000-0000-00003C020000}"/>
    <cellStyle name="SAPExceptionLevel5 2" xfId="572" xr:uid="{00000000-0005-0000-0000-00003D020000}"/>
    <cellStyle name="SAPExceptionLevel6" xfId="573" xr:uid="{00000000-0005-0000-0000-00003E020000}"/>
    <cellStyle name="SAPExceptionLevel6 2" xfId="574" xr:uid="{00000000-0005-0000-0000-00003F020000}"/>
    <cellStyle name="SAPExceptionLevel7" xfId="575" xr:uid="{00000000-0005-0000-0000-000040020000}"/>
    <cellStyle name="SAPExceptionLevel7 2" xfId="576" xr:uid="{00000000-0005-0000-0000-000041020000}"/>
    <cellStyle name="SAPExceptionLevel8" xfId="577" xr:uid="{00000000-0005-0000-0000-000042020000}"/>
    <cellStyle name="SAPExceptionLevel8 2" xfId="578" xr:uid="{00000000-0005-0000-0000-000043020000}"/>
    <cellStyle name="SAPExceptionLevel9" xfId="579" xr:uid="{00000000-0005-0000-0000-000044020000}"/>
    <cellStyle name="SAPExceptionLevel9 2" xfId="580" xr:uid="{00000000-0005-0000-0000-000045020000}"/>
    <cellStyle name="SAPHierarchyCell" xfId="581" xr:uid="{00000000-0005-0000-0000-000046020000}"/>
    <cellStyle name="SAPHierarchyCell0" xfId="582" xr:uid="{00000000-0005-0000-0000-000047020000}"/>
    <cellStyle name="SAPHierarchyCell0 2" xfId="583" xr:uid="{00000000-0005-0000-0000-000048020000}"/>
    <cellStyle name="SAPHierarchyCell1" xfId="584" xr:uid="{00000000-0005-0000-0000-000049020000}"/>
    <cellStyle name="SAPHierarchyCell1 2" xfId="585" xr:uid="{00000000-0005-0000-0000-00004A020000}"/>
    <cellStyle name="SAPHierarchyCell2" xfId="586" xr:uid="{00000000-0005-0000-0000-00004B020000}"/>
    <cellStyle name="SAPHierarchyCell2 2" xfId="587" xr:uid="{00000000-0005-0000-0000-00004C020000}"/>
    <cellStyle name="SAPHierarchyCell3" xfId="588" xr:uid="{00000000-0005-0000-0000-00004D020000}"/>
    <cellStyle name="SAPHierarchyCell3 2" xfId="589" xr:uid="{00000000-0005-0000-0000-00004E020000}"/>
    <cellStyle name="SAPHierarchyCell4" xfId="590" xr:uid="{00000000-0005-0000-0000-00004F020000}"/>
    <cellStyle name="SAPHierarchyCell4 2" xfId="591" xr:uid="{00000000-0005-0000-0000-000050020000}"/>
    <cellStyle name="SAPHierarchyOddCell" xfId="592" xr:uid="{00000000-0005-0000-0000-000051020000}"/>
    <cellStyle name="SAPLockedDataCell" xfId="593" xr:uid="{00000000-0005-0000-0000-000052020000}"/>
    <cellStyle name="SAPLockedDataTotalCell" xfId="594" xr:uid="{00000000-0005-0000-0000-000053020000}"/>
    <cellStyle name="SAPMemberCell" xfId="595" xr:uid="{00000000-0005-0000-0000-000054020000}"/>
    <cellStyle name="SAPMemberCell 2" xfId="596" xr:uid="{00000000-0005-0000-0000-000055020000}"/>
    <cellStyle name="SAPMemberTotalCell" xfId="597" xr:uid="{00000000-0005-0000-0000-000056020000}"/>
    <cellStyle name="SAPMemberTotalCell 2" xfId="598" xr:uid="{00000000-0005-0000-0000-000057020000}"/>
    <cellStyle name="SAPReadonlyDataCell" xfId="599" xr:uid="{00000000-0005-0000-0000-000058020000}"/>
    <cellStyle name="SAPReadonlyDataCell 2" xfId="600" xr:uid="{00000000-0005-0000-0000-000059020000}"/>
    <cellStyle name="SAPReadonlyDataTotalCell" xfId="601" xr:uid="{00000000-0005-0000-0000-00005A020000}"/>
    <cellStyle name="Satisfaisant" xfId="602" xr:uid="{00000000-0005-0000-0000-00005B020000}"/>
    <cellStyle name="Sortie" xfId="603" xr:uid="{00000000-0005-0000-0000-00005C020000}"/>
    <cellStyle name="Sortie 2" xfId="604" xr:uid="{00000000-0005-0000-0000-00005D020000}"/>
    <cellStyle name="Texte explicatif" xfId="605" xr:uid="{00000000-0005-0000-0000-00005E020000}"/>
    <cellStyle name="Title 2" xfId="606" xr:uid="{00000000-0005-0000-0000-00005F020000}"/>
    <cellStyle name="Title 3" xfId="607" xr:uid="{00000000-0005-0000-0000-000060020000}"/>
    <cellStyle name="Titre" xfId="608" xr:uid="{00000000-0005-0000-0000-000061020000}"/>
    <cellStyle name="Titre 1" xfId="609" xr:uid="{00000000-0005-0000-0000-000062020000}"/>
    <cellStyle name="Titre 2" xfId="610" xr:uid="{00000000-0005-0000-0000-000063020000}"/>
    <cellStyle name="Titre 3" xfId="611" xr:uid="{00000000-0005-0000-0000-000064020000}"/>
    <cellStyle name="Titre 4" xfId="612" xr:uid="{00000000-0005-0000-0000-000065020000}"/>
    <cellStyle name="Total 2" xfId="613" xr:uid="{00000000-0005-0000-0000-000066020000}"/>
    <cellStyle name="Total 2 2" xfId="614" xr:uid="{00000000-0005-0000-0000-000067020000}"/>
    <cellStyle name="Total 3" xfId="615" xr:uid="{00000000-0005-0000-0000-000068020000}"/>
    <cellStyle name="Unprot" xfId="616" xr:uid="{00000000-0005-0000-0000-000069020000}"/>
    <cellStyle name="Unprot$" xfId="617" xr:uid="{00000000-0005-0000-0000-00006A020000}"/>
    <cellStyle name="Unprotect" xfId="618" xr:uid="{00000000-0005-0000-0000-00006B020000}"/>
    <cellStyle name="Vérification" xfId="619" xr:uid="{00000000-0005-0000-0000-00006C020000}"/>
    <cellStyle name="Warning Text 2" xfId="620" xr:uid="{00000000-0005-0000-0000-00006D02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D7E9F2"/>
      <rgbColor rgb="003366FF"/>
      <rgbColor rgb="0033CCCC"/>
      <rgbColor rgb="0099CC00"/>
      <rgbColor rgb="009BBFDB"/>
      <rgbColor rgb="005A82A6"/>
      <rgbColor rgb="0033495F"/>
      <rgbColor rgb="00666699"/>
      <rgbColor rgb="00969696"/>
      <rgbColor rgb="00003366"/>
      <rgbColor rgb="00339966"/>
      <rgbColor rgb="00003300"/>
      <rgbColor rgb="00333300"/>
      <rgbColor rgb="001D3961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K$4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3810</xdr:rowOff>
    </xdr:from>
    <xdr:to>
      <xdr:col>3</xdr:col>
      <xdr:colOff>299626</xdr:colOff>
      <xdr:row>3</xdr:row>
      <xdr:rowOff>26670</xdr:rowOff>
    </xdr:to>
    <xdr:pic>
      <xdr:nvPicPr>
        <xdr:cNvPr id="1121" name="Picture 16" descr="NTMA-main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1" y="3810"/>
          <a:ext cx="1659795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</xdr:row>
          <xdr:rowOff>28575</xdr:rowOff>
        </xdr:from>
        <xdr:to>
          <xdr:col>2</xdr:col>
          <xdr:colOff>57150</xdr:colOff>
          <xdr:row>4</xdr:row>
          <xdr:rowOff>38100</xdr:rowOff>
        </xdr:to>
        <xdr:sp macro="" textlink="">
          <xdr:nvSpPr>
            <xdr:cNvPr id="7173" name="Option Button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Tools &amp; Dies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</xdr:row>
          <xdr:rowOff>19050</xdr:rowOff>
        </xdr:from>
        <xdr:to>
          <xdr:col>2</xdr:col>
          <xdr:colOff>47625</xdr:colOff>
          <xdr:row>5</xdr:row>
          <xdr:rowOff>28575</xdr:rowOff>
        </xdr:to>
        <xdr:sp macro="" textlink="">
          <xdr:nvSpPr>
            <xdr:cNvPr id="7174" name="Option Button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Molds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</xdr:row>
          <xdr:rowOff>9525</xdr:rowOff>
        </xdr:from>
        <xdr:to>
          <xdr:col>2</xdr:col>
          <xdr:colOff>57150</xdr:colOff>
          <xdr:row>6</xdr:row>
          <xdr:rowOff>19050</xdr:rowOff>
        </xdr:to>
        <xdr:sp macro="" textlink="">
          <xdr:nvSpPr>
            <xdr:cNvPr id="7175" name="Option Button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General Precision Machining (not Aerospace)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</xdr:row>
          <xdr:rowOff>28575</xdr:rowOff>
        </xdr:from>
        <xdr:to>
          <xdr:col>2</xdr:col>
          <xdr:colOff>57150</xdr:colOff>
          <xdr:row>7</xdr:row>
          <xdr:rowOff>38100</xdr:rowOff>
        </xdr:to>
        <xdr:sp macro="" textlink="">
          <xdr:nvSpPr>
            <xdr:cNvPr id="7176" name="Option Button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Aerospace Machining &amp; Fabrication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7</xdr:row>
          <xdr:rowOff>9525</xdr:rowOff>
        </xdr:from>
        <xdr:to>
          <xdr:col>2</xdr:col>
          <xdr:colOff>47625</xdr:colOff>
          <xdr:row>8</xdr:row>
          <xdr:rowOff>19050</xdr:rowOff>
        </xdr:to>
        <xdr:sp macro="" textlink="">
          <xdr:nvSpPr>
            <xdr:cNvPr id="7177" name="Option Button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Special Machines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8</xdr:row>
          <xdr:rowOff>0</xdr:rowOff>
        </xdr:from>
        <xdr:to>
          <xdr:col>2</xdr:col>
          <xdr:colOff>57150</xdr:colOff>
          <xdr:row>9</xdr:row>
          <xdr:rowOff>9525</xdr:rowOff>
        </xdr:to>
        <xdr:sp macro="" textlink="">
          <xdr:nvSpPr>
            <xdr:cNvPr id="7178" name="Option Button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Production Operation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</xdr:row>
          <xdr:rowOff>9525</xdr:rowOff>
        </xdr:from>
        <xdr:to>
          <xdr:col>2</xdr:col>
          <xdr:colOff>47625</xdr:colOff>
          <xdr:row>10</xdr:row>
          <xdr:rowOff>19050</xdr:rowOff>
        </xdr:to>
        <xdr:sp macro="" textlink="">
          <xdr:nvSpPr>
            <xdr:cNvPr id="7179" name="Option Button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Sheet Metal Fabrication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</xdr:row>
          <xdr:rowOff>180975</xdr:rowOff>
        </xdr:from>
        <xdr:to>
          <xdr:col>2</xdr:col>
          <xdr:colOff>47625</xdr:colOff>
          <xdr:row>11</xdr:row>
          <xdr:rowOff>0</xdr:rowOff>
        </xdr:to>
        <xdr:sp macro="" textlink="">
          <xdr:nvSpPr>
            <xdr:cNvPr id="7180" name="Option Button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Other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urveys@mackayresearchgroup.com" TargetMode="External"/><Relationship Id="rId2" Type="http://schemas.openxmlformats.org/officeDocument/2006/relationships/hyperlink" Target="mailto:surveys@mackayresearchgroup.com" TargetMode="External"/><Relationship Id="rId1" Type="http://schemas.openxmlformats.org/officeDocument/2006/relationships/hyperlink" Target="mailto:taylor@mackayresearchgroup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surveys@mackayresearchgroup.com" TargetMode="External"/><Relationship Id="rId2" Type="http://schemas.openxmlformats.org/officeDocument/2006/relationships/hyperlink" Target="mailto:surveys@mackayresearchgroup.com" TargetMode="External"/><Relationship Id="rId1" Type="http://schemas.openxmlformats.org/officeDocument/2006/relationships/hyperlink" Target="mailto:surveys@mackayresearchgroup.com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surveys@mackayresearchgroup.com" TargetMode="External"/><Relationship Id="rId2" Type="http://schemas.openxmlformats.org/officeDocument/2006/relationships/hyperlink" Target="mailto:surveys@mackayresearchgroup.com" TargetMode="External"/><Relationship Id="rId1" Type="http://schemas.openxmlformats.org/officeDocument/2006/relationships/hyperlink" Target="mailto:surveys@mackayresearchgroup.com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showGridLines="0" showRowColHeaders="0" tabSelected="1" zoomScaleNormal="100" zoomScaleSheetLayoutView="100" workbookViewId="0">
      <selection activeCell="D28" sqref="D28:H28"/>
    </sheetView>
  </sheetViews>
  <sheetFormatPr defaultColWidth="0" defaultRowHeight="12.75" zeroHeight="1"/>
  <cols>
    <col min="1" max="1" width="2.7109375" customWidth="1"/>
    <col min="2" max="4" width="8.7109375" customWidth="1"/>
    <col min="5" max="5" width="13.7109375" customWidth="1"/>
    <col min="6" max="6" width="2.7109375" customWidth="1"/>
    <col min="7" max="7" width="13.7109375" customWidth="1"/>
    <col min="8" max="8" width="2.7109375" customWidth="1"/>
    <col min="9" max="9" width="14.7109375" customWidth="1"/>
    <col min="10" max="10" width="2.7109375" customWidth="1"/>
    <col min="11" max="11" width="13.7109375" customWidth="1"/>
    <col min="12" max="12" width="2.7109375" customWidth="1"/>
  </cols>
  <sheetData>
    <row r="1" spans="1:12" ht="18" customHeight="1">
      <c r="A1" s="297"/>
      <c r="B1" s="298"/>
      <c r="C1" s="299"/>
      <c r="D1" s="299"/>
      <c r="E1" s="299"/>
      <c r="F1" s="299"/>
      <c r="G1" s="299"/>
      <c r="H1" s="46"/>
      <c r="I1" s="307" t="s">
        <v>28</v>
      </c>
      <c r="J1" s="308"/>
      <c r="K1" s="299"/>
      <c r="L1" s="300"/>
    </row>
    <row r="2" spans="1:12" ht="18" customHeight="1" thickBot="1">
      <c r="A2" s="297"/>
      <c r="B2" s="301"/>
      <c r="C2" s="297"/>
      <c r="D2" s="297"/>
      <c r="E2" s="297"/>
      <c r="F2" s="297"/>
      <c r="G2" s="297"/>
      <c r="H2" s="370">
        <v>46325</v>
      </c>
      <c r="I2" s="371"/>
      <c r="J2" s="372"/>
      <c r="K2" s="297"/>
      <c r="L2" s="302"/>
    </row>
    <row r="3" spans="1:12" ht="12.75" customHeight="1" thickBot="1">
      <c r="A3" s="297"/>
      <c r="B3" s="303"/>
      <c r="C3" s="304"/>
      <c r="D3" s="304"/>
      <c r="E3" s="304"/>
      <c r="F3" s="304"/>
      <c r="G3" s="305"/>
      <c r="H3" s="304"/>
      <c r="I3" s="304"/>
      <c r="J3" s="304"/>
      <c r="K3" s="304"/>
      <c r="L3" s="306"/>
    </row>
    <row r="4" spans="1:12" ht="23.25">
      <c r="C4" s="12"/>
      <c r="D4" s="12"/>
      <c r="E4" s="12"/>
      <c r="F4" s="11" t="s">
        <v>144</v>
      </c>
      <c r="G4" s="12"/>
      <c r="H4" s="12"/>
      <c r="I4" s="12"/>
    </row>
    <row r="5" spans="1:12" ht="18">
      <c r="C5" s="12"/>
      <c r="D5" s="12"/>
      <c r="E5" s="12"/>
      <c r="F5" s="13" t="s">
        <v>842</v>
      </c>
      <c r="G5" s="12"/>
      <c r="H5" s="12"/>
    </row>
    <row r="6" spans="1:12" ht="6" customHeight="1" thickBot="1">
      <c r="C6" s="12"/>
      <c r="D6" s="12"/>
      <c r="E6" s="12"/>
      <c r="F6" s="13"/>
      <c r="G6" s="12"/>
      <c r="H6" s="12"/>
    </row>
    <row r="7" spans="1:12" ht="12" customHeight="1">
      <c r="B7" s="314"/>
      <c r="C7" s="315"/>
      <c r="D7" s="315"/>
      <c r="E7" s="315"/>
      <c r="F7" s="316" t="s">
        <v>31</v>
      </c>
      <c r="G7" s="315"/>
      <c r="H7" s="315"/>
      <c r="I7" s="317"/>
      <c r="J7" s="317"/>
      <c r="K7" s="318"/>
    </row>
    <row r="8" spans="1:12" ht="12" customHeight="1">
      <c r="B8" s="319"/>
      <c r="C8" s="320"/>
      <c r="D8" s="320"/>
      <c r="E8" s="320"/>
      <c r="F8" s="321" t="s">
        <v>145</v>
      </c>
      <c r="G8" s="320"/>
      <c r="H8" s="320"/>
      <c r="I8" s="322"/>
      <c r="J8" s="322"/>
      <c r="K8" s="323"/>
    </row>
    <row r="9" spans="1:12" ht="12" customHeight="1" thickBot="1">
      <c r="B9" s="324"/>
      <c r="C9" s="325"/>
      <c r="D9" s="325"/>
      <c r="E9" s="325"/>
      <c r="F9" s="326" t="s">
        <v>30</v>
      </c>
      <c r="G9" s="325"/>
      <c r="H9" s="325"/>
      <c r="I9" s="327"/>
      <c r="J9" s="327"/>
      <c r="K9" s="328"/>
    </row>
    <row r="10" spans="1:12" ht="18" customHeight="1">
      <c r="B10" s="1" t="s">
        <v>208</v>
      </c>
      <c r="C10" s="12"/>
      <c r="D10" s="12"/>
      <c r="E10" s="12"/>
      <c r="F10" s="14"/>
      <c r="G10" s="12"/>
      <c r="H10" s="12"/>
    </row>
    <row r="11" spans="1:12" ht="6" customHeight="1">
      <c r="B11" s="1"/>
      <c r="C11" s="12"/>
      <c r="D11" s="12"/>
      <c r="E11" s="12"/>
      <c r="F11" s="14"/>
      <c r="G11" s="12"/>
      <c r="H11" s="12"/>
    </row>
    <row r="12" spans="1:12" s="1" customFormat="1" ht="12.75" hidden="1" customHeight="1">
      <c r="B12" s="67" t="s">
        <v>806</v>
      </c>
    </row>
    <row r="13" spans="1:12" s="1" customFormat="1" ht="12.75" hidden="1" customHeight="1">
      <c r="B13" s="67" t="s">
        <v>359</v>
      </c>
      <c r="C13" s="68"/>
      <c r="D13" s="68"/>
      <c r="E13" s="68"/>
      <c r="F13" s="68"/>
      <c r="G13" s="68"/>
      <c r="H13" s="68"/>
      <c r="I13" s="68"/>
      <c r="J13" s="57"/>
    </row>
    <row r="14" spans="1:12" s="1" customFormat="1" ht="6" hidden="1" customHeight="1">
      <c r="B14" s="67"/>
      <c r="C14" s="68"/>
      <c r="D14" s="68"/>
      <c r="E14" s="68"/>
      <c r="F14" s="68"/>
      <c r="G14" s="68"/>
      <c r="H14" s="68"/>
      <c r="I14" s="68"/>
      <c r="J14" s="57"/>
    </row>
    <row r="15" spans="1:12" s="1" customFormat="1" ht="12.75" customHeight="1">
      <c r="B15" t="s">
        <v>204</v>
      </c>
      <c r="C15" s="68"/>
      <c r="D15" s="68"/>
      <c r="E15" s="68"/>
      <c r="F15" s="68"/>
      <c r="G15" s="68"/>
      <c r="H15" s="68"/>
      <c r="I15" s="68"/>
      <c r="J15" s="57"/>
    </row>
    <row r="16" spans="1:12" s="1" customFormat="1" ht="12.75" hidden="1" customHeight="1">
      <c r="B16" t="s">
        <v>205</v>
      </c>
      <c r="C16" s="68"/>
      <c r="D16" s="68"/>
      <c r="E16" s="68"/>
      <c r="F16" s="68"/>
      <c r="G16" s="68"/>
      <c r="H16" s="68"/>
      <c r="I16" s="68"/>
      <c r="J16" s="57"/>
    </row>
    <row r="17" spans="2:10" s="1" customFormat="1" ht="6" customHeight="1">
      <c r="B17"/>
      <c r="C17" s="68"/>
      <c r="D17" s="68"/>
      <c r="E17" s="68"/>
      <c r="F17" s="68"/>
      <c r="G17" s="68"/>
      <c r="H17" s="68"/>
      <c r="I17" s="68"/>
      <c r="J17" s="57"/>
    </row>
    <row r="18" spans="2:10" s="1" customFormat="1" ht="12.75" customHeight="1">
      <c r="B18" s="2" t="s">
        <v>34</v>
      </c>
      <c r="C18" s="57"/>
      <c r="D18" s="57"/>
      <c r="E18" s="57"/>
      <c r="F18" s="57"/>
      <c r="G18" s="57"/>
      <c r="H18" s="57"/>
      <c r="I18" s="57"/>
      <c r="J18" s="57"/>
    </row>
    <row r="19" spans="2:10" s="1" customFormat="1" ht="12.75" customHeight="1">
      <c r="B19" s="1" t="s">
        <v>33</v>
      </c>
      <c r="C19" s="57"/>
      <c r="D19" s="57"/>
      <c r="E19" s="57"/>
      <c r="F19" s="57"/>
      <c r="G19" s="57"/>
      <c r="H19" s="57"/>
      <c r="I19" s="57"/>
      <c r="J19" s="57"/>
    </row>
    <row r="20" spans="2:10" s="1" customFormat="1" ht="6" customHeight="1">
      <c r="C20" s="57"/>
      <c r="D20" s="57"/>
      <c r="E20" s="57"/>
      <c r="F20" s="57"/>
      <c r="G20" s="57"/>
      <c r="H20" s="57"/>
      <c r="I20" s="57"/>
      <c r="J20" s="57"/>
    </row>
    <row r="21" spans="2:10" ht="12.75" customHeight="1">
      <c r="B21" s="125" t="s">
        <v>833</v>
      </c>
      <c r="C21" s="70"/>
      <c r="G21" s="71" t="s">
        <v>206</v>
      </c>
    </row>
    <row r="22" spans="2:10" ht="6" customHeight="1"/>
    <row r="23" spans="2:10" ht="12" customHeight="1">
      <c r="B23" s="232" t="s">
        <v>808</v>
      </c>
      <c r="C23" s="70"/>
    </row>
    <row r="24" spans="2:10" ht="12" customHeight="1">
      <c r="B24" s="69"/>
      <c r="C24" s="1" t="s">
        <v>809</v>
      </c>
    </row>
    <row r="25" spans="2:10" ht="6" customHeight="1">
      <c r="B25" s="69"/>
      <c r="C25" s="1"/>
    </row>
    <row r="26" spans="2:10" ht="12" customHeight="1">
      <c r="B26" t="s">
        <v>197</v>
      </c>
    </row>
    <row r="27" spans="2:10" ht="6" customHeight="1"/>
    <row r="28" spans="2:10">
      <c r="B28" s="377" t="s">
        <v>11</v>
      </c>
      <c r="C28" s="377"/>
      <c r="D28" s="373"/>
      <c r="E28" s="374"/>
      <c r="F28" s="374"/>
      <c r="G28" s="374"/>
      <c r="H28" s="375"/>
      <c r="I28" s="230"/>
    </row>
    <row r="29" spans="2:10">
      <c r="B29" s="376" t="s">
        <v>12</v>
      </c>
      <c r="C29" s="376"/>
      <c r="D29" s="373"/>
      <c r="E29" s="374"/>
      <c r="F29" s="374"/>
      <c r="G29" s="374"/>
      <c r="H29" s="375"/>
    </row>
    <row r="30" spans="2:10">
      <c r="B30" s="376" t="s">
        <v>29</v>
      </c>
      <c r="C30" s="376"/>
      <c r="D30" s="373"/>
      <c r="E30" s="374"/>
      <c r="F30" s="374"/>
      <c r="G30" s="374"/>
      <c r="H30" s="375"/>
    </row>
    <row r="31" spans="2:10">
      <c r="D31" s="373"/>
      <c r="E31" s="374"/>
      <c r="F31" s="374"/>
      <c r="G31" s="374"/>
      <c r="H31" s="375"/>
    </row>
    <row r="32" spans="2:10">
      <c r="B32" s="376" t="s">
        <v>213</v>
      </c>
      <c r="C32" s="376"/>
      <c r="D32" s="373"/>
      <c r="E32" s="374"/>
      <c r="F32" s="374"/>
      <c r="G32" s="374"/>
      <c r="H32" s="375"/>
    </row>
    <row r="33" spans="2:11">
      <c r="B33" t="s">
        <v>211</v>
      </c>
      <c r="D33" s="220"/>
      <c r="E33" s="126"/>
      <c r="F33" s="127"/>
      <c r="G33" s="127"/>
      <c r="H33" s="127"/>
    </row>
    <row r="34" spans="2:11">
      <c r="B34" t="s">
        <v>212</v>
      </c>
      <c r="D34" s="221"/>
      <c r="E34" s="128"/>
      <c r="F34" s="129"/>
      <c r="G34" s="129"/>
      <c r="H34" s="129"/>
    </row>
    <row r="35" spans="2:11">
      <c r="B35" s="376" t="s">
        <v>13</v>
      </c>
      <c r="C35" s="376"/>
      <c r="D35" s="378"/>
      <c r="E35" s="379"/>
      <c r="F35" s="131"/>
      <c r="G35" s="132"/>
      <c r="H35" s="132"/>
    </row>
    <row r="36" spans="2:11">
      <c r="B36" s="376" t="s">
        <v>27</v>
      </c>
      <c r="C36" s="376"/>
      <c r="D36" s="373"/>
      <c r="E36" s="374"/>
      <c r="F36" s="374"/>
      <c r="G36" s="374"/>
      <c r="H36" s="375"/>
    </row>
    <row r="37" spans="2:11" ht="13.5" thickBot="1"/>
    <row r="38" spans="2:11" ht="18" customHeight="1" thickBot="1">
      <c r="B38" s="311"/>
      <c r="C38" s="313" t="s">
        <v>207</v>
      </c>
      <c r="D38" s="311"/>
      <c r="E38" s="311"/>
      <c r="F38" s="311"/>
      <c r="G38" s="311"/>
      <c r="H38" s="311"/>
      <c r="I38" s="311"/>
      <c r="J38" s="311"/>
      <c r="K38" s="312"/>
    </row>
    <row r="39" spans="2:11"/>
    <row r="40" spans="2:11"/>
    <row r="41" spans="2:11"/>
    <row r="42" spans="2:11"/>
  </sheetData>
  <sheetProtection algorithmName="SHA-512" hashValue="qy+gHt7McPWmQIqP1uIRbsg1eoTa04EDE+YkxFmI6V+U8INEZzY/EYEVUgQWHZjGzfyYPskZHu7U1u1kzvgVsA==" saltValue="j0bdecNFjDGaJ6Y9X5VDAA==" spinCount="100000" sheet="1" objects="1" scenarios="1"/>
  <mergeCells count="14">
    <mergeCell ref="H2:J2"/>
    <mergeCell ref="D28:H28"/>
    <mergeCell ref="D29:H29"/>
    <mergeCell ref="D36:H36"/>
    <mergeCell ref="B36:C36"/>
    <mergeCell ref="B35:C35"/>
    <mergeCell ref="B28:C28"/>
    <mergeCell ref="B32:C32"/>
    <mergeCell ref="B29:C29"/>
    <mergeCell ref="B30:C30"/>
    <mergeCell ref="D30:H30"/>
    <mergeCell ref="D31:H31"/>
    <mergeCell ref="D32:H32"/>
    <mergeCell ref="D35:E35"/>
  </mergeCells>
  <phoneticPr fontId="0" type="noConversion"/>
  <hyperlinks>
    <hyperlink ref="B23" r:id="rId1" display="Questions: email john@mackayresearchgroup.com" xr:uid="{00000000-0004-0000-0000-000000000000}"/>
    <hyperlink ref="B21" r:id="rId2" display="Email your completed questionnaire to: surveys@mackayresearchgroup.com" xr:uid="{00000000-0004-0000-0000-000001000000}"/>
    <hyperlink ref="G21" r:id="rId3" xr:uid="{00000000-0004-0000-0000-000002000000}"/>
  </hyperlinks>
  <pageMargins left="0.5" right="0.5" top="0.5" bottom="0.5" header="0.5" footer="0.5"/>
  <pageSetup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68"/>
  <sheetViews>
    <sheetView showGridLines="0" showRowColHeaders="0" zoomScaleNormal="100" zoomScaleSheetLayoutView="100" workbookViewId="0">
      <selection activeCell="I13" sqref="I13"/>
    </sheetView>
  </sheetViews>
  <sheetFormatPr defaultColWidth="8.85546875" defaultRowHeight="12.75" zeroHeight="1"/>
  <cols>
    <col min="1" max="1" width="2.7109375" customWidth="1"/>
    <col min="2" max="2" width="3.5703125" customWidth="1"/>
    <col min="3" max="8" width="7.7109375" customWidth="1"/>
    <col min="9" max="9" width="11.7109375" customWidth="1"/>
    <col min="10" max="10" width="7.7109375" customWidth="1"/>
    <col min="11" max="11" width="13.7109375" hidden="1" customWidth="1"/>
    <col min="12" max="12" width="3.7109375" customWidth="1"/>
    <col min="13" max="13" width="13.7109375" customWidth="1"/>
    <col min="14" max="14" width="3.7109375" customWidth="1"/>
    <col min="15" max="15" width="13.7109375" customWidth="1"/>
    <col min="16" max="16" width="3.7109375" customWidth="1"/>
    <col min="17" max="17" width="13.7109375" customWidth="1"/>
    <col min="18" max="18" width="3.7109375" customWidth="1"/>
    <col min="19" max="19" width="13.7109375" customWidth="1"/>
    <col min="20" max="20" width="3.7109375" customWidth="1"/>
    <col min="21" max="21" width="13.7109375" customWidth="1"/>
    <col min="22" max="22" width="3.7109375" customWidth="1"/>
    <col min="23" max="23" width="13.7109375" customWidth="1"/>
    <col min="24" max="24" width="3.7109375" customWidth="1"/>
    <col min="25" max="25" width="13.7109375" customWidth="1"/>
    <col min="26" max="26" width="3.7109375" customWidth="1"/>
    <col min="27" max="27" width="13.7109375" customWidth="1"/>
    <col min="28" max="28" width="3.7109375" customWidth="1"/>
    <col min="29" max="29" width="13.7109375" customWidth="1"/>
    <col min="31" max="31" width="0" hidden="1" customWidth="1"/>
  </cols>
  <sheetData>
    <row r="1" spans="1:31" ht="18.75" thickBot="1">
      <c r="A1" s="329"/>
      <c r="B1" s="330" t="s">
        <v>14</v>
      </c>
      <c r="C1" s="309"/>
      <c r="D1" s="309"/>
      <c r="E1" s="309"/>
      <c r="F1" s="309"/>
      <c r="G1" s="309"/>
      <c r="H1" s="309"/>
      <c r="I1" s="309"/>
      <c r="J1" s="310"/>
      <c r="AE1" s="7" t="s">
        <v>24</v>
      </c>
    </row>
    <row r="2" spans="1:31" ht="6" customHeight="1">
      <c r="AE2" s="8" t="s">
        <v>23</v>
      </c>
    </row>
    <row r="3" spans="1:31" s="1" customFormat="1" ht="12" customHeight="1">
      <c r="A3" s="3" t="s">
        <v>15</v>
      </c>
      <c r="B3" s="2" t="s">
        <v>811</v>
      </c>
      <c r="G3" s="107" t="s">
        <v>812</v>
      </c>
      <c r="AE3" s="8" t="s">
        <v>25</v>
      </c>
    </row>
    <row r="4" spans="1:31" s="1" customFormat="1" ht="15" customHeight="1">
      <c r="A4" s="107"/>
      <c r="B4" s="107"/>
      <c r="C4" s="107" t="s">
        <v>815</v>
      </c>
      <c r="D4"/>
      <c r="E4"/>
      <c r="F4"/>
      <c r="I4" s="39"/>
      <c r="K4" s="238">
        <v>0</v>
      </c>
      <c r="AE4" s="8" t="s">
        <v>22</v>
      </c>
    </row>
    <row r="5" spans="1:31" ht="15" customHeight="1">
      <c r="A5" s="107"/>
      <c r="B5" s="107"/>
      <c r="C5" s="107" t="s">
        <v>816</v>
      </c>
      <c r="E5" s="6"/>
      <c r="F5" s="6"/>
      <c r="G5" s="1"/>
      <c r="H5" s="6"/>
      <c r="I5" s="39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E5" s="9" t="s">
        <v>26</v>
      </c>
    </row>
    <row r="6" spans="1:31" ht="15" customHeight="1">
      <c r="A6" s="107"/>
      <c r="B6" s="107"/>
      <c r="C6" s="107" t="s">
        <v>817</v>
      </c>
      <c r="E6" s="6"/>
      <c r="F6" s="6"/>
      <c r="G6" s="107"/>
      <c r="H6" s="6"/>
      <c r="I6" s="39"/>
      <c r="J6" s="6"/>
      <c r="K6" s="6"/>
      <c r="L6" s="6"/>
      <c r="M6" s="234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31" ht="15" customHeight="1">
      <c r="A7" s="107"/>
      <c r="B7" s="107"/>
      <c r="C7" s="107" t="s">
        <v>818</v>
      </c>
      <c r="E7" s="6"/>
      <c r="F7" s="6"/>
      <c r="G7" s="1"/>
      <c r="H7" s="6"/>
      <c r="I7" s="39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31" s="1" customFormat="1" ht="15" customHeight="1">
      <c r="C8" s="107" t="s">
        <v>819</v>
      </c>
      <c r="G8" s="107"/>
      <c r="I8" s="39"/>
    </row>
    <row r="9" spans="1:31" s="1" customFormat="1" ht="15" customHeight="1">
      <c r="C9" s="107" t="s">
        <v>820</v>
      </c>
      <c r="G9" s="107"/>
      <c r="I9" s="39"/>
    </row>
    <row r="10" spans="1:31" s="1" customFormat="1" ht="15" customHeight="1">
      <c r="C10" s="107" t="s">
        <v>821</v>
      </c>
      <c r="G10" s="107"/>
      <c r="I10" s="39"/>
    </row>
    <row r="11" spans="1:31" s="1" customFormat="1" ht="15" customHeight="1">
      <c r="C11" s="107" t="s">
        <v>822</v>
      </c>
      <c r="D11" s="4"/>
      <c r="I11" s="39"/>
    </row>
    <row r="12" spans="1:31" s="1" customFormat="1" ht="6" customHeight="1">
      <c r="B12" s="2"/>
      <c r="E12" s="10"/>
      <c r="F12" s="10"/>
      <c r="G12" s="10"/>
      <c r="H12" s="10"/>
      <c r="I12" s="40"/>
      <c r="J12" s="2"/>
      <c r="K12" s="10"/>
      <c r="M12" s="10"/>
      <c r="O12" s="10"/>
      <c r="Q12" s="10"/>
      <c r="S12" s="10"/>
      <c r="U12" s="10"/>
      <c r="W12" s="10"/>
      <c r="Y12" s="10"/>
    </row>
    <row r="13" spans="1:31" s="1" customFormat="1" ht="12" customHeight="1">
      <c r="A13" s="3" t="s">
        <v>16</v>
      </c>
      <c r="B13" s="2" t="s">
        <v>210</v>
      </c>
      <c r="D13" s="78"/>
      <c r="E13" s="79"/>
      <c r="F13" s="79"/>
      <c r="G13" s="79"/>
      <c r="H13" s="80" t="s">
        <v>32</v>
      </c>
      <c r="I13" s="222"/>
      <c r="J13" s="10"/>
      <c r="K13" s="10"/>
      <c r="M13" s="10"/>
      <c r="O13" s="10"/>
      <c r="Q13" s="10"/>
      <c r="S13" s="10"/>
      <c r="U13" s="10"/>
      <c r="W13" s="10"/>
      <c r="Y13" s="10"/>
    </row>
    <row r="14" spans="1:31" s="1" customFormat="1" ht="6" customHeight="1">
      <c r="E14" s="10"/>
      <c r="F14" s="10"/>
      <c r="G14" s="10"/>
      <c r="H14" s="10"/>
      <c r="I14" s="10"/>
      <c r="J14" s="10"/>
      <c r="K14" s="10"/>
      <c r="M14" s="10"/>
      <c r="O14" s="10"/>
      <c r="Q14" s="10"/>
      <c r="S14" s="10"/>
      <c r="U14" s="10"/>
      <c r="W14" s="10"/>
      <c r="Y14" s="10"/>
    </row>
    <row r="15" spans="1:31" s="1" customFormat="1" ht="12" customHeight="1">
      <c r="A15" s="3" t="s">
        <v>17</v>
      </c>
      <c r="B15" s="2" t="s">
        <v>139</v>
      </c>
      <c r="E15" s="10"/>
      <c r="F15" s="10"/>
      <c r="G15" s="79"/>
      <c r="H15" s="81"/>
      <c r="I15" s="223"/>
      <c r="J15" s="2" t="s">
        <v>21</v>
      </c>
      <c r="K15" s="10"/>
      <c r="M15" s="10"/>
      <c r="O15" s="10"/>
      <c r="Q15" s="10"/>
      <c r="S15" s="10"/>
      <c r="U15" s="10"/>
      <c r="W15" s="10"/>
      <c r="Y15" s="10"/>
    </row>
    <row r="16" spans="1:31" s="1" customFormat="1" ht="6" customHeight="1">
      <c r="A16" s="3"/>
      <c r="B16" s="2"/>
      <c r="E16" s="10"/>
      <c r="F16" s="10"/>
      <c r="G16" s="10"/>
      <c r="H16" s="10"/>
      <c r="I16" s="16"/>
      <c r="J16" s="2"/>
      <c r="K16" s="10"/>
      <c r="M16" s="10"/>
      <c r="O16" s="10"/>
      <c r="Q16" s="10"/>
      <c r="S16" s="10"/>
      <c r="U16" s="10"/>
      <c r="W16" s="10"/>
      <c r="Y16" s="10"/>
    </row>
    <row r="17" spans="1:25" s="1" customFormat="1" ht="12.75" customHeight="1">
      <c r="A17" s="3" t="s">
        <v>18</v>
      </c>
      <c r="B17" s="2" t="s">
        <v>35</v>
      </c>
      <c r="E17" s="10"/>
      <c r="F17" s="10"/>
      <c r="G17" s="10"/>
      <c r="H17" s="10"/>
      <c r="I17" s="16"/>
      <c r="J17" s="10"/>
      <c r="K17" s="10"/>
      <c r="M17" s="10"/>
      <c r="O17" s="10"/>
      <c r="Q17" s="10"/>
      <c r="S17" s="10"/>
      <c r="U17" s="10"/>
      <c r="W17" s="10"/>
      <c r="Y17" s="10"/>
    </row>
    <row r="18" spans="1:25" ht="12.75" customHeight="1">
      <c r="B18" s="74" t="s">
        <v>36</v>
      </c>
    </row>
    <row r="19" spans="1:25" ht="12.75" customHeight="1">
      <c r="B19" s="74" t="s">
        <v>37</v>
      </c>
    </row>
    <row r="20" spans="1:25" ht="6" customHeight="1">
      <c r="B20" s="74"/>
    </row>
    <row r="21" spans="1:25">
      <c r="B21" s="1" t="s">
        <v>38</v>
      </c>
      <c r="F21" s="82"/>
      <c r="G21" s="82"/>
      <c r="H21" s="83"/>
      <c r="I21" s="224"/>
    </row>
    <row r="22" spans="1:25">
      <c r="B22" s="1" t="s">
        <v>39</v>
      </c>
      <c r="F22" s="76"/>
      <c r="G22" s="76"/>
      <c r="H22" s="84"/>
      <c r="I22" s="224"/>
    </row>
    <row r="23" spans="1:25">
      <c r="B23" s="1" t="s">
        <v>40</v>
      </c>
      <c r="F23" s="76"/>
      <c r="G23" s="76"/>
      <c r="H23" s="84"/>
      <c r="I23" s="224"/>
    </row>
    <row r="24" spans="1:25" s="2" customFormat="1">
      <c r="B24" s="41" t="s">
        <v>140</v>
      </c>
      <c r="I24" s="17">
        <f>BEGEMP+HIRE-LEFT</f>
        <v>0</v>
      </c>
    </row>
    <row r="25" spans="1:25" ht="12.75" customHeight="1" thickBot="1">
      <c r="A25" s="3"/>
      <c r="B25" s="2"/>
      <c r="C25" s="1"/>
      <c r="D25" s="1"/>
      <c r="E25" s="1"/>
      <c r="F25" s="1"/>
      <c r="G25" s="1"/>
      <c r="H25" s="1"/>
      <c r="I25" s="1"/>
      <c r="J25" s="1"/>
    </row>
    <row r="26" spans="1:25" s="1" customFormat="1" ht="18" customHeight="1" thickBot="1">
      <c r="A26" s="331"/>
      <c r="B26" s="333" t="s">
        <v>207</v>
      </c>
      <c r="C26" s="309"/>
      <c r="D26" s="309"/>
      <c r="E26" s="309"/>
      <c r="F26" s="309"/>
      <c r="G26" s="309"/>
      <c r="H26" s="309"/>
      <c r="I26" s="309"/>
      <c r="J26" s="332"/>
      <c r="N26"/>
    </row>
    <row r="27" spans="1:25" s="1" customFormat="1" ht="12.75" customHeight="1">
      <c r="E27" s="5"/>
      <c r="F27" s="5"/>
      <c r="G27" s="5"/>
      <c r="H27" s="5"/>
      <c r="I27" s="39"/>
      <c r="J27" s="5"/>
    </row>
    <row r="28" spans="1:25" s="1" customFormat="1" ht="12.75" customHeight="1">
      <c r="E28" s="5"/>
      <c r="F28" s="5"/>
      <c r="G28" s="5"/>
      <c r="H28" s="5"/>
      <c r="I28" s="39"/>
      <c r="J28" s="5"/>
    </row>
    <row r="29" spans="1:25" s="1" customFormat="1" ht="12.75" customHeight="1">
      <c r="E29" s="5"/>
      <c r="F29" s="5"/>
      <c r="G29" s="5"/>
      <c r="H29" s="5"/>
      <c r="I29" s="39"/>
      <c r="J29" s="5"/>
    </row>
    <row r="30" spans="1:25" ht="12.75" customHeight="1">
      <c r="A30" s="1"/>
      <c r="B30" s="1"/>
      <c r="C30" s="1"/>
      <c r="D30" s="1"/>
      <c r="E30" s="5"/>
      <c r="F30" s="5"/>
      <c r="G30" s="5"/>
      <c r="H30" s="5"/>
      <c r="I30" s="39"/>
      <c r="J30" s="5"/>
      <c r="N30" s="1"/>
      <c r="O30" s="1"/>
    </row>
    <row r="31" spans="1:25" ht="12.75" customHeight="1">
      <c r="A31" s="3"/>
      <c r="B31" s="2"/>
      <c r="C31" s="1"/>
      <c r="D31" s="1"/>
      <c r="E31" s="1"/>
      <c r="F31" s="1"/>
      <c r="G31" s="1"/>
      <c r="H31" s="1"/>
      <c r="I31" s="28"/>
      <c r="J31" s="1"/>
      <c r="N31" s="1"/>
      <c r="O31" s="1"/>
    </row>
    <row r="32" spans="1:25" ht="12.75" customHeight="1">
      <c r="A32" s="1"/>
      <c r="B32" s="1"/>
      <c r="C32" s="29"/>
      <c r="D32" s="29"/>
      <c r="E32" s="29"/>
      <c r="F32" s="29"/>
      <c r="G32" s="1"/>
      <c r="H32" s="29"/>
      <c r="I32" s="6"/>
      <c r="J32" s="29"/>
      <c r="N32" s="1"/>
      <c r="O32" s="1"/>
    </row>
    <row r="33" spans="1:15" ht="12.75" customHeight="1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N33" s="1"/>
      <c r="O33" s="1"/>
    </row>
    <row r="34" spans="1:15" ht="12.75" customHeight="1">
      <c r="A34" s="30"/>
      <c r="B34" s="1"/>
      <c r="C34" s="1"/>
      <c r="D34" s="1"/>
      <c r="E34" s="5"/>
      <c r="F34" s="5"/>
      <c r="G34" s="1"/>
      <c r="H34" s="5"/>
      <c r="I34" s="5"/>
      <c r="J34" s="5"/>
      <c r="K34" s="5"/>
      <c r="N34" s="1"/>
      <c r="O34" s="1"/>
    </row>
    <row r="35" spans="1:15" ht="12.75" customHeight="1">
      <c r="A35" s="1"/>
      <c r="B35" s="1"/>
      <c r="C35" s="1"/>
      <c r="D35" s="1"/>
      <c r="E35" s="5"/>
      <c r="F35" s="5"/>
      <c r="G35" s="1"/>
      <c r="H35" s="5"/>
      <c r="I35" s="5"/>
      <c r="J35" s="5"/>
      <c r="K35" s="5"/>
      <c r="N35" s="1"/>
      <c r="O35" s="1"/>
    </row>
    <row r="36" spans="1:15" ht="12.75" customHeight="1">
      <c r="A36" s="3"/>
      <c r="B36" s="2"/>
      <c r="C36" s="1"/>
      <c r="D36" s="1"/>
      <c r="E36" s="1"/>
      <c r="F36" s="1"/>
      <c r="G36" s="1"/>
      <c r="H36" s="1"/>
      <c r="I36" s="28"/>
      <c r="J36" s="1"/>
    </row>
    <row r="37" spans="1:15" ht="12.75" customHeight="1">
      <c r="A37" s="1"/>
      <c r="B37" s="1"/>
      <c r="C37" s="29"/>
      <c r="D37" s="29"/>
      <c r="E37" s="39"/>
      <c r="F37" s="1"/>
      <c r="G37" s="29"/>
      <c r="I37" s="6"/>
      <c r="J37" s="29"/>
      <c r="O37" s="1"/>
    </row>
    <row r="38" spans="1:15" ht="12.75" customHeight="1">
      <c r="A38" s="3"/>
      <c r="B38" s="1"/>
      <c r="C38" s="1"/>
      <c r="D38" s="1"/>
      <c r="E38" s="39"/>
      <c r="F38" s="1"/>
      <c r="G38" s="1"/>
      <c r="J38" s="1"/>
      <c r="K38" s="1"/>
      <c r="N38" s="1"/>
      <c r="O38" s="1"/>
    </row>
    <row r="39" spans="1:15" ht="12.75" customHeight="1">
      <c r="A39" s="3"/>
      <c r="B39" s="1"/>
      <c r="C39" s="1"/>
      <c r="D39" s="30"/>
      <c r="E39" s="39"/>
      <c r="F39" s="1"/>
      <c r="G39" s="1"/>
      <c r="J39" s="1"/>
      <c r="K39" s="1"/>
      <c r="N39" s="1"/>
      <c r="O39" s="1"/>
    </row>
    <row r="40" spans="1:15" ht="12.75" customHeight="1">
      <c r="A40" s="3"/>
      <c r="B40" s="1"/>
      <c r="C40" s="1"/>
      <c r="D40" s="30"/>
      <c r="E40" s="39"/>
      <c r="F40" s="1"/>
      <c r="G40" s="1"/>
      <c r="J40" s="1"/>
      <c r="K40" s="1"/>
      <c r="N40" s="1"/>
      <c r="O40" s="1"/>
    </row>
    <row r="41" spans="1:15" ht="12.75" customHeight="1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N41" s="1"/>
      <c r="O41" s="1"/>
    </row>
    <row r="42" spans="1:15" ht="12.75" customHeight="1">
      <c r="B42" s="1"/>
      <c r="N42" s="1"/>
      <c r="O42" s="1"/>
    </row>
    <row r="43" spans="1:15" ht="12.75" hidden="1" customHeight="1"/>
    <row r="44" spans="1:15" ht="12.75" hidden="1" customHeight="1"/>
    <row r="45" spans="1:15" ht="12.75" hidden="1" customHeight="1"/>
    <row r="46" spans="1:15" ht="12.75" hidden="1" customHeight="1"/>
    <row r="47" spans="1:15" ht="12.75" hidden="1" customHeight="1"/>
    <row r="48" spans="1:15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  <row r="66" ht="12.75" hidden="1" customHeight="1"/>
    <row r="67" ht="12.75" hidden="1" customHeight="1"/>
    <row r="68"/>
  </sheetData>
  <sheetProtection password="CF42" sheet="1" objects="1" scenarios="1" selectLockedCells="1"/>
  <phoneticPr fontId="0" type="noConversion"/>
  <dataValidations count="2">
    <dataValidation type="whole" allowBlank="1" showInputMessage="1" showErrorMessage="1" sqref="I31" xr:uid="{00000000-0002-0000-0100-000000000000}">
      <formula1>1</formula1>
      <formula2>8</formula2>
    </dataValidation>
    <dataValidation type="whole" allowBlank="1" showInputMessage="1" showErrorMessage="1" sqref="I36" xr:uid="{00000000-0002-0000-0100-000001000000}">
      <formula1>1</formula1>
      <formula2>5</formula2>
    </dataValidation>
  </dataValidations>
  <pageMargins left="0.5" right="0.5" top="0.5" bottom="0.5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3" r:id="rId4" name="Option Button 5">
              <controlPr defaultSize="0" autoFill="0" autoLine="0" autoPict="0" altText="">
                <anchor moveWithCells="1">
                  <from>
                    <xdr:col>1</xdr:col>
                    <xdr:colOff>28575</xdr:colOff>
                    <xdr:row>3</xdr:row>
                    <xdr:rowOff>28575</xdr:rowOff>
                  </from>
                  <to>
                    <xdr:col>2</xdr:col>
                    <xdr:colOff>57150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5" name="Option Button 6">
              <controlPr defaultSize="0" autoFill="0" autoLine="0" autoPict="0" altText="">
                <anchor moveWithCells="1">
                  <from>
                    <xdr:col>1</xdr:col>
                    <xdr:colOff>19050</xdr:colOff>
                    <xdr:row>4</xdr:row>
                    <xdr:rowOff>19050</xdr:rowOff>
                  </from>
                  <to>
                    <xdr:col>2</xdr:col>
                    <xdr:colOff>47625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6" name="Option Button 7">
              <controlPr defaultSize="0" autoFill="0" autoLine="0" autoPict="0" altText="">
                <anchor moveWithCells="1">
                  <from>
                    <xdr:col>1</xdr:col>
                    <xdr:colOff>28575</xdr:colOff>
                    <xdr:row>5</xdr:row>
                    <xdr:rowOff>9525</xdr:rowOff>
                  </from>
                  <to>
                    <xdr:col>2</xdr:col>
                    <xdr:colOff>57150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7" name="Option Button 8">
              <controlPr defaultSize="0" autoFill="0" autoLine="0" autoPict="0" altText="">
                <anchor moveWithCells="1">
                  <from>
                    <xdr:col>1</xdr:col>
                    <xdr:colOff>28575</xdr:colOff>
                    <xdr:row>6</xdr:row>
                    <xdr:rowOff>28575</xdr:rowOff>
                  </from>
                  <to>
                    <xdr:col>2</xdr:col>
                    <xdr:colOff>57150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8" name="Option Button 9">
              <controlPr defaultSize="0" autoFill="0" autoLine="0" autoPict="0" altText="">
                <anchor moveWithCells="1">
                  <from>
                    <xdr:col>1</xdr:col>
                    <xdr:colOff>19050</xdr:colOff>
                    <xdr:row>7</xdr:row>
                    <xdr:rowOff>9525</xdr:rowOff>
                  </from>
                  <to>
                    <xdr:col>2</xdr:col>
                    <xdr:colOff>47625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9" name="Option Button 10">
              <controlPr defaultSize="0" autoFill="0" autoLine="0" autoPict="0" altText="">
                <anchor moveWithCells="1">
                  <from>
                    <xdr:col>1</xdr:col>
                    <xdr:colOff>38100</xdr:colOff>
                    <xdr:row>8</xdr:row>
                    <xdr:rowOff>0</xdr:rowOff>
                  </from>
                  <to>
                    <xdr:col>2</xdr:col>
                    <xdr:colOff>57150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0" name="Option Button 11">
              <controlPr defaultSize="0" autoFill="0" autoLine="0" autoPict="0" altText="">
                <anchor moveWithCells="1">
                  <from>
                    <xdr:col>1</xdr:col>
                    <xdr:colOff>19050</xdr:colOff>
                    <xdr:row>9</xdr:row>
                    <xdr:rowOff>9525</xdr:rowOff>
                  </from>
                  <to>
                    <xdr:col>2</xdr:col>
                    <xdr:colOff>47625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1" name="Option Button 12">
              <controlPr defaultSize="0" autoFill="0" autoLine="0" autoPict="0" altText="">
                <anchor moveWithCells="1">
                  <from>
                    <xdr:col>1</xdr:col>
                    <xdr:colOff>19050</xdr:colOff>
                    <xdr:row>9</xdr:row>
                    <xdr:rowOff>180975</xdr:rowOff>
                  </from>
                  <to>
                    <xdr:col>2</xdr:col>
                    <xdr:colOff>47625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C82"/>
  <sheetViews>
    <sheetView showGridLines="0" showRowColHeaders="0" zoomScaleNormal="100" zoomScaleSheetLayoutView="100" workbookViewId="0">
      <selection activeCell="G46" sqref="G46"/>
    </sheetView>
  </sheetViews>
  <sheetFormatPr defaultColWidth="0" defaultRowHeight="12.75" zeroHeight="1"/>
  <cols>
    <col min="1" max="1" width="4.7109375" customWidth="1"/>
    <col min="2" max="2" width="11" customWidth="1"/>
    <col min="3" max="4" width="7.7109375" customWidth="1"/>
    <col min="5" max="5" width="10.28515625" customWidth="1"/>
    <col min="6" max="6" width="7.7109375" customWidth="1"/>
    <col min="7" max="8" width="10.7109375" customWidth="1"/>
    <col min="9" max="9" width="10.7109375" style="61" customWidth="1"/>
    <col min="10" max="10" width="7.7109375" hidden="1" customWidth="1"/>
    <col min="11" max="14" width="7.7109375" style="61" hidden="1" customWidth="1"/>
    <col min="15" max="15" width="7.7109375" hidden="1" customWidth="1"/>
    <col min="16" max="16" width="35.7109375" customWidth="1"/>
    <col min="16384" max="16384" width="4.42578125" hidden="1" customWidth="1"/>
  </cols>
  <sheetData>
    <row r="1" spans="1:17" ht="18.75" thickBot="1">
      <c r="A1" s="337" t="s">
        <v>19</v>
      </c>
      <c r="B1" s="338" t="s">
        <v>43</v>
      </c>
      <c r="C1" s="334"/>
      <c r="D1" s="334"/>
      <c r="E1" s="334"/>
      <c r="F1" s="334"/>
      <c r="G1" s="334"/>
      <c r="H1" s="335"/>
      <c r="I1" s="336"/>
      <c r="J1" s="334"/>
      <c r="K1" s="336"/>
      <c r="L1" s="336"/>
      <c r="M1" s="336"/>
      <c r="N1" s="336"/>
      <c r="O1" s="334"/>
      <c r="P1" s="310"/>
      <c r="Q1" s="48"/>
    </row>
    <row r="2" spans="1:17" s="241" customFormat="1" ht="17.100000000000001" customHeight="1">
      <c r="A2" s="244"/>
      <c r="B2" s="242" t="s">
        <v>317</v>
      </c>
      <c r="C2" s="246" t="s">
        <v>312</v>
      </c>
      <c r="D2" s="246"/>
      <c r="E2" s="246"/>
      <c r="F2" s="246"/>
      <c r="H2" s="242"/>
      <c r="I2" s="243"/>
      <c r="K2" s="243"/>
      <c r="L2" s="243"/>
      <c r="M2" s="243"/>
      <c r="N2" s="243"/>
    </row>
    <row r="3" spans="1:17" s="241" customFormat="1" ht="17.100000000000001" customHeight="1">
      <c r="A3" s="244"/>
      <c r="B3" s="242" t="s">
        <v>318</v>
      </c>
      <c r="C3" s="246" t="s">
        <v>313</v>
      </c>
      <c r="D3" s="246"/>
      <c r="E3" s="246"/>
      <c r="F3" s="246"/>
      <c r="H3" s="242"/>
      <c r="I3" s="243"/>
      <c r="K3" s="243"/>
      <c r="L3" s="243"/>
      <c r="M3" s="243"/>
      <c r="N3" s="243"/>
    </row>
    <row r="4" spans="1:17" s="241" customFormat="1" ht="17.100000000000001" customHeight="1">
      <c r="A4" s="244"/>
      <c r="B4" s="242" t="s">
        <v>314</v>
      </c>
      <c r="C4" s="246" t="s">
        <v>316</v>
      </c>
      <c r="D4" s="246"/>
      <c r="E4" s="246"/>
      <c r="F4" s="246"/>
      <c r="H4" s="242"/>
      <c r="I4" s="243"/>
      <c r="K4" s="243"/>
      <c r="L4" s="243"/>
      <c r="M4" s="243"/>
      <c r="N4" s="243"/>
    </row>
    <row r="5" spans="1:17" s="241" customFormat="1" ht="17.100000000000001" customHeight="1">
      <c r="A5" s="244"/>
      <c r="B5" s="246"/>
      <c r="C5" s="246" t="s">
        <v>315</v>
      </c>
      <c r="D5" s="246"/>
      <c r="E5" s="246"/>
      <c r="F5" s="246"/>
      <c r="H5" s="242"/>
      <c r="I5" s="243"/>
      <c r="K5" s="243"/>
      <c r="L5" s="243"/>
      <c r="M5" s="243"/>
      <c r="N5" s="243"/>
    </row>
    <row r="6" spans="1:17" s="241" customFormat="1" ht="17.100000000000001" customHeight="1">
      <c r="A6" s="133"/>
      <c r="B6" s="242" t="s">
        <v>824</v>
      </c>
      <c r="C6" s="246"/>
      <c r="D6" s="246"/>
      <c r="E6" s="246"/>
      <c r="F6" s="246"/>
      <c r="I6" s="243"/>
      <c r="K6" s="243"/>
      <c r="L6" s="243"/>
      <c r="M6" s="243"/>
      <c r="N6" s="243"/>
    </row>
    <row r="7" spans="1:17" s="143" customFormat="1" ht="17.100000000000001" customHeight="1" thickBot="1">
      <c r="B7" s="246"/>
      <c r="C7" s="246" t="s">
        <v>310</v>
      </c>
      <c r="D7" s="246"/>
      <c r="E7" s="246"/>
      <c r="F7" s="246"/>
      <c r="I7" s="245"/>
      <c r="K7" s="245"/>
      <c r="L7" s="245"/>
      <c r="M7" s="245"/>
      <c r="N7" s="245"/>
    </row>
    <row r="8" spans="1:17" s="1" customFormat="1" ht="18" hidden="1" customHeight="1">
      <c r="B8" s="165" t="s">
        <v>399</v>
      </c>
      <c r="I8" s="18"/>
      <c r="K8" s="18"/>
      <c r="L8" s="18"/>
      <c r="M8" s="18"/>
      <c r="N8" s="18"/>
    </row>
    <row r="9" spans="1:17" s="1" customFormat="1" ht="12.75" hidden="1" customHeight="1">
      <c r="B9" s="165" t="s">
        <v>400</v>
      </c>
      <c r="I9" s="18"/>
      <c r="K9" s="18"/>
      <c r="L9" s="18"/>
      <c r="M9" s="18"/>
      <c r="N9" s="18"/>
    </row>
    <row r="10" spans="1:17" s="1" customFormat="1" ht="12.75" hidden="1" customHeight="1">
      <c r="B10" s="165" t="s">
        <v>401</v>
      </c>
      <c r="I10" s="18"/>
      <c r="K10" s="18"/>
      <c r="L10" s="18"/>
      <c r="M10" s="18"/>
      <c r="N10" s="18"/>
    </row>
    <row r="11" spans="1:17" s="1" customFormat="1" ht="18" hidden="1" customHeight="1">
      <c r="B11" s="165" t="s">
        <v>402</v>
      </c>
      <c r="I11" s="18"/>
      <c r="K11" s="18"/>
      <c r="L11" s="18"/>
      <c r="M11" s="18"/>
      <c r="N11" s="18"/>
    </row>
    <row r="12" spans="1:17" s="1" customFormat="1" ht="12.75" hidden="1" customHeight="1">
      <c r="B12" s="165" t="s">
        <v>405</v>
      </c>
      <c r="I12" s="18"/>
      <c r="K12" s="18"/>
      <c r="L12" s="18"/>
      <c r="M12" s="18"/>
      <c r="N12" s="18"/>
    </row>
    <row r="13" spans="1:17" s="1" customFormat="1" ht="12.75" hidden="1" customHeight="1">
      <c r="B13" s="53" t="s">
        <v>404</v>
      </c>
      <c r="I13" s="18"/>
      <c r="K13" s="18"/>
      <c r="L13" s="18"/>
      <c r="M13" s="18"/>
      <c r="N13" s="18"/>
    </row>
    <row r="14" spans="1:17" s="1" customFormat="1" ht="12.75" hidden="1" customHeight="1">
      <c r="B14" s="165" t="s">
        <v>403</v>
      </c>
      <c r="I14" s="18"/>
      <c r="K14" s="18"/>
      <c r="L14" s="18"/>
      <c r="M14" s="18"/>
      <c r="N14" s="18"/>
    </row>
    <row r="15" spans="1:17" s="1" customFormat="1" ht="6" hidden="1" customHeight="1" thickBot="1">
      <c r="I15" s="18"/>
      <c r="K15" s="18"/>
      <c r="L15" s="18"/>
      <c r="M15" s="18"/>
      <c r="N15" s="18"/>
    </row>
    <row r="16" spans="1:17" s="1" customFormat="1" ht="12.75" hidden="1" customHeight="1">
      <c r="A16" s="85"/>
      <c r="B16" s="153" t="s">
        <v>398</v>
      </c>
      <c r="C16" s="85"/>
      <c r="D16" s="85"/>
      <c r="E16" s="85"/>
      <c r="F16" s="85"/>
      <c r="G16" s="154"/>
      <c r="H16" s="155" t="s">
        <v>395</v>
      </c>
      <c r="I16" s="156"/>
      <c r="J16" s="145"/>
      <c r="K16" s="146" t="s">
        <v>397</v>
      </c>
      <c r="L16" s="147"/>
      <c r="M16" s="163"/>
      <c r="N16" s="155" t="s">
        <v>396</v>
      </c>
      <c r="O16" s="164"/>
      <c r="P16" s="72"/>
    </row>
    <row r="17" spans="1:17" ht="12.75" customHeight="1">
      <c r="A17" s="298"/>
      <c r="B17" s="339"/>
      <c r="C17" s="339"/>
      <c r="D17" s="339"/>
      <c r="E17" s="339"/>
      <c r="F17" s="347" t="s">
        <v>198</v>
      </c>
      <c r="G17" s="247"/>
      <c r="H17" s="248" t="s">
        <v>394</v>
      </c>
      <c r="I17" s="249"/>
      <c r="J17" s="148"/>
      <c r="K17" s="144" t="s">
        <v>394</v>
      </c>
      <c r="L17" s="149"/>
      <c r="M17" s="157"/>
      <c r="N17" s="158" t="s">
        <v>394</v>
      </c>
      <c r="O17" s="159"/>
      <c r="P17" s="341"/>
      <c r="Q17" s="50"/>
    </row>
    <row r="18" spans="1:17" ht="12.75" customHeight="1" thickBot="1">
      <c r="A18" s="303"/>
      <c r="B18" s="344" t="s">
        <v>360</v>
      </c>
      <c r="C18" s="340"/>
      <c r="D18" s="340"/>
      <c r="E18" s="340"/>
      <c r="F18" s="348" t="s">
        <v>138</v>
      </c>
      <c r="G18" s="250" t="s">
        <v>392</v>
      </c>
      <c r="H18" s="251" t="s">
        <v>393</v>
      </c>
      <c r="I18" s="252" t="s">
        <v>311</v>
      </c>
      <c r="J18" s="150" t="s">
        <v>392</v>
      </c>
      <c r="K18" s="151" t="s">
        <v>393</v>
      </c>
      <c r="L18" s="152" t="s">
        <v>311</v>
      </c>
      <c r="M18" s="160" t="s">
        <v>392</v>
      </c>
      <c r="N18" s="161" t="s">
        <v>393</v>
      </c>
      <c r="O18" s="162" t="s">
        <v>311</v>
      </c>
      <c r="P18" s="349" t="s">
        <v>360</v>
      </c>
      <c r="Q18" s="50"/>
    </row>
    <row r="19" spans="1:17" s="1" customFormat="1" ht="14.25">
      <c r="A19" s="253" t="s">
        <v>77</v>
      </c>
      <c r="B19" s="254" t="s">
        <v>44</v>
      </c>
      <c r="C19" s="254"/>
      <c r="D19" s="254"/>
      <c r="E19" s="254"/>
      <c r="F19" s="255"/>
      <c r="G19" s="256"/>
      <c r="H19" s="256"/>
      <c r="I19" s="256"/>
      <c r="J19" s="257"/>
      <c r="K19" s="258"/>
      <c r="L19" s="258"/>
      <c r="M19" s="256"/>
      <c r="N19" s="256"/>
      <c r="O19" s="259"/>
      <c r="P19" s="254" t="s">
        <v>44</v>
      </c>
      <c r="Q19" s="49"/>
    </row>
    <row r="20" spans="1:17" s="1" customFormat="1" ht="14.25">
      <c r="A20" s="253" t="s">
        <v>78</v>
      </c>
      <c r="B20" s="254" t="s">
        <v>45</v>
      </c>
      <c r="C20" s="254"/>
      <c r="D20" s="254"/>
      <c r="E20" s="254"/>
      <c r="F20" s="260"/>
      <c r="G20" s="261"/>
      <c r="H20" s="261"/>
      <c r="I20" s="261"/>
      <c r="J20" s="262"/>
      <c r="K20" s="263"/>
      <c r="L20" s="263"/>
      <c r="M20" s="261"/>
      <c r="N20" s="261"/>
      <c r="O20" s="264"/>
      <c r="P20" s="254" t="s">
        <v>45</v>
      </c>
    </row>
    <row r="21" spans="1:17" s="1" customFormat="1" ht="14.25">
      <c r="A21" s="253" t="s">
        <v>84</v>
      </c>
      <c r="B21" s="254" t="s">
        <v>46</v>
      </c>
      <c r="C21" s="254"/>
      <c r="D21" s="254"/>
      <c r="E21" s="254"/>
      <c r="F21" s="260"/>
      <c r="G21" s="261"/>
      <c r="H21" s="261"/>
      <c r="I21" s="261"/>
      <c r="J21" s="262"/>
      <c r="K21" s="263"/>
      <c r="L21" s="263"/>
      <c r="M21" s="261"/>
      <c r="N21" s="261"/>
      <c r="O21" s="264"/>
      <c r="P21" s="254" t="s">
        <v>46</v>
      </c>
      <c r="Q21" s="49"/>
    </row>
    <row r="22" spans="1:17" s="1" customFormat="1" ht="15" thickBot="1">
      <c r="A22" s="253" t="s">
        <v>85</v>
      </c>
      <c r="B22" s="254" t="s">
        <v>47</v>
      </c>
      <c r="C22" s="254"/>
      <c r="D22" s="254"/>
      <c r="E22" s="254"/>
      <c r="F22" s="265"/>
      <c r="G22" s="266"/>
      <c r="H22" s="266"/>
      <c r="I22" s="266"/>
      <c r="J22" s="267"/>
      <c r="K22" s="268"/>
      <c r="L22" s="268"/>
      <c r="M22" s="261"/>
      <c r="N22" s="261"/>
      <c r="O22" s="264"/>
      <c r="P22" s="254" t="s">
        <v>47</v>
      </c>
    </row>
    <row r="23" spans="1:17" s="1" customFormat="1" ht="16.5">
      <c r="A23" s="342"/>
      <c r="B23" s="339"/>
      <c r="C23" s="339"/>
      <c r="D23" s="339"/>
      <c r="E23" s="339"/>
      <c r="F23" s="345" t="s">
        <v>198</v>
      </c>
      <c r="G23" s="247"/>
      <c r="H23" s="248" t="s">
        <v>394</v>
      </c>
      <c r="I23" s="249"/>
      <c r="J23" s="269"/>
      <c r="K23" s="270" t="s">
        <v>394</v>
      </c>
      <c r="L23" s="271"/>
      <c r="M23" s="272"/>
      <c r="N23" s="273" t="s">
        <v>394</v>
      </c>
      <c r="O23" s="274"/>
      <c r="P23" s="341"/>
      <c r="Q23" s="51"/>
    </row>
    <row r="24" spans="1:17" s="1" customFormat="1" ht="17.25" thickBot="1">
      <c r="A24" s="343"/>
      <c r="B24" s="344" t="s">
        <v>371</v>
      </c>
      <c r="C24" s="340"/>
      <c r="D24" s="340"/>
      <c r="E24" s="340"/>
      <c r="F24" s="346" t="s">
        <v>138</v>
      </c>
      <c r="G24" s="250" t="s">
        <v>392</v>
      </c>
      <c r="H24" s="251" t="s">
        <v>393</v>
      </c>
      <c r="I24" s="252" t="s">
        <v>311</v>
      </c>
      <c r="J24" s="275" t="s">
        <v>392</v>
      </c>
      <c r="K24" s="276" t="s">
        <v>393</v>
      </c>
      <c r="L24" s="277" t="s">
        <v>311</v>
      </c>
      <c r="M24" s="250" t="s">
        <v>392</v>
      </c>
      <c r="N24" s="251" t="s">
        <v>393</v>
      </c>
      <c r="O24" s="252" t="s">
        <v>311</v>
      </c>
      <c r="P24" s="349" t="s">
        <v>371</v>
      </c>
      <c r="Q24" s="51"/>
    </row>
    <row r="25" spans="1:17" s="1" customFormat="1" ht="12.75" customHeight="1">
      <c r="A25" s="253" t="s">
        <v>86</v>
      </c>
      <c r="B25" s="278" t="s">
        <v>178</v>
      </c>
      <c r="C25" s="254"/>
      <c r="D25" s="254"/>
      <c r="E25" s="254"/>
      <c r="F25" s="279"/>
      <c r="G25" s="264"/>
      <c r="H25" s="261"/>
      <c r="I25" s="261"/>
      <c r="J25" s="280"/>
      <c r="K25" s="281"/>
      <c r="L25" s="281"/>
      <c r="M25" s="282"/>
      <c r="N25" s="282"/>
      <c r="O25" s="283"/>
      <c r="P25" s="278" t="s">
        <v>178</v>
      </c>
    </row>
    <row r="26" spans="1:17" s="1" customFormat="1" ht="14.25">
      <c r="A26" s="253" t="s">
        <v>147</v>
      </c>
      <c r="B26" s="278" t="s">
        <v>372</v>
      </c>
      <c r="C26" s="254"/>
      <c r="D26" s="254"/>
      <c r="E26" s="254"/>
      <c r="F26" s="260"/>
      <c r="G26" s="261"/>
      <c r="H26" s="261"/>
      <c r="I26" s="261"/>
      <c r="J26" s="262"/>
      <c r="K26" s="263"/>
      <c r="L26" s="263"/>
      <c r="M26" s="261"/>
      <c r="N26" s="261"/>
      <c r="O26" s="264"/>
      <c r="P26" s="278" t="s">
        <v>372</v>
      </c>
      <c r="Q26" s="49"/>
    </row>
    <row r="27" spans="1:17" s="1" customFormat="1" ht="14.25">
      <c r="A27" s="253" t="s">
        <v>148</v>
      </c>
      <c r="B27" s="278" t="s">
        <v>834</v>
      </c>
      <c r="C27" s="254"/>
      <c r="D27" s="254"/>
      <c r="E27" s="254"/>
      <c r="F27" s="260"/>
      <c r="G27" s="261"/>
      <c r="H27" s="261"/>
      <c r="I27" s="261"/>
      <c r="J27" s="262"/>
      <c r="K27" s="263"/>
      <c r="L27" s="263"/>
      <c r="M27" s="261"/>
      <c r="N27" s="261"/>
      <c r="O27" s="264"/>
      <c r="P27" s="278" t="s">
        <v>835</v>
      </c>
      <c r="Q27" s="49"/>
    </row>
    <row r="28" spans="1:17" s="1" customFormat="1" ht="14.25">
      <c r="A28" s="253" t="s">
        <v>149</v>
      </c>
      <c r="B28" s="278" t="s">
        <v>373</v>
      </c>
      <c r="C28" s="254"/>
      <c r="D28" s="254"/>
      <c r="E28" s="254"/>
      <c r="F28" s="260"/>
      <c r="G28" s="261"/>
      <c r="H28" s="261"/>
      <c r="I28" s="261"/>
      <c r="J28" s="262"/>
      <c r="K28" s="263"/>
      <c r="L28" s="263"/>
      <c r="M28" s="261"/>
      <c r="N28" s="261"/>
      <c r="O28" s="264"/>
      <c r="P28" s="278" t="s">
        <v>373</v>
      </c>
    </row>
    <row r="29" spans="1:17" s="1" customFormat="1" ht="14.25">
      <c r="A29" s="253" t="s">
        <v>150</v>
      </c>
      <c r="B29" s="278" t="s">
        <v>374</v>
      </c>
      <c r="C29" s="254"/>
      <c r="D29" s="254"/>
      <c r="E29" s="254"/>
      <c r="F29" s="260"/>
      <c r="G29" s="261"/>
      <c r="H29" s="261"/>
      <c r="I29" s="261"/>
      <c r="J29" s="262"/>
      <c r="K29" s="263"/>
      <c r="L29" s="263"/>
      <c r="M29" s="261"/>
      <c r="N29" s="261"/>
      <c r="O29" s="264"/>
      <c r="P29" s="278" t="s">
        <v>374</v>
      </c>
      <c r="Q29" s="49"/>
    </row>
    <row r="30" spans="1:17" s="1" customFormat="1" ht="14.25">
      <c r="A30" s="253" t="s">
        <v>151</v>
      </c>
      <c r="B30" s="278" t="s">
        <v>375</v>
      </c>
      <c r="C30" s="254"/>
      <c r="D30" s="254"/>
      <c r="E30" s="254"/>
      <c r="F30" s="260"/>
      <c r="G30" s="261"/>
      <c r="H30" s="261"/>
      <c r="I30" s="261"/>
      <c r="J30" s="262"/>
      <c r="K30" s="263"/>
      <c r="L30" s="263"/>
      <c r="M30" s="261"/>
      <c r="N30" s="261"/>
      <c r="O30" s="264"/>
      <c r="P30" s="278" t="s">
        <v>375</v>
      </c>
    </row>
    <row r="31" spans="1:17" s="1" customFormat="1" ht="14.25">
      <c r="A31" s="253" t="s">
        <v>152</v>
      </c>
      <c r="B31" s="278" t="s">
        <v>376</v>
      </c>
      <c r="C31" s="254"/>
      <c r="D31" s="254"/>
      <c r="E31" s="254"/>
      <c r="F31" s="260"/>
      <c r="G31" s="261"/>
      <c r="H31" s="261"/>
      <c r="I31" s="261"/>
      <c r="J31" s="262"/>
      <c r="K31" s="263"/>
      <c r="L31" s="263"/>
      <c r="M31" s="261"/>
      <c r="N31" s="261"/>
      <c r="O31" s="264"/>
      <c r="P31" s="278" t="s">
        <v>376</v>
      </c>
      <c r="Q31" s="49"/>
    </row>
    <row r="32" spans="1:17" s="1" customFormat="1" ht="14.25">
      <c r="A32" s="253" t="s">
        <v>153</v>
      </c>
      <c r="B32" s="278" t="s">
        <v>377</v>
      </c>
      <c r="C32" s="254"/>
      <c r="D32" s="254"/>
      <c r="E32" s="254"/>
      <c r="F32" s="260"/>
      <c r="G32" s="261"/>
      <c r="H32" s="261"/>
      <c r="I32" s="261"/>
      <c r="J32" s="262"/>
      <c r="K32" s="263"/>
      <c r="L32" s="263"/>
      <c r="M32" s="261"/>
      <c r="N32" s="261"/>
      <c r="O32" s="264"/>
      <c r="P32" s="278" t="s">
        <v>377</v>
      </c>
    </row>
    <row r="33" spans="1:17" s="1" customFormat="1" ht="14.25">
      <c r="A33" s="253" t="s">
        <v>154</v>
      </c>
      <c r="B33" s="278" t="s">
        <v>378</v>
      </c>
      <c r="C33" s="254"/>
      <c r="D33" s="254"/>
      <c r="E33" s="254"/>
      <c r="F33" s="260"/>
      <c r="G33" s="261"/>
      <c r="H33" s="261"/>
      <c r="I33" s="261"/>
      <c r="J33" s="262"/>
      <c r="K33" s="263"/>
      <c r="L33" s="263"/>
      <c r="M33" s="261"/>
      <c r="N33" s="261"/>
      <c r="O33" s="264"/>
      <c r="P33" s="278" t="s">
        <v>378</v>
      </c>
      <c r="Q33" s="49"/>
    </row>
    <row r="34" spans="1:17" s="1" customFormat="1" ht="14.25">
      <c r="A34" s="253" t="s">
        <v>155</v>
      </c>
      <c r="B34" s="278" t="s">
        <v>379</v>
      </c>
      <c r="C34" s="254"/>
      <c r="D34" s="254"/>
      <c r="E34" s="254"/>
      <c r="F34" s="260"/>
      <c r="G34" s="261"/>
      <c r="H34" s="261"/>
      <c r="I34" s="261"/>
      <c r="J34" s="262"/>
      <c r="K34" s="263"/>
      <c r="L34" s="263"/>
      <c r="M34" s="261"/>
      <c r="N34" s="261"/>
      <c r="O34" s="264"/>
      <c r="P34" s="278" t="s">
        <v>379</v>
      </c>
    </row>
    <row r="35" spans="1:17" s="1" customFormat="1" ht="14.25">
      <c r="A35" s="253" t="s">
        <v>156</v>
      </c>
      <c r="B35" s="278" t="s">
        <v>380</v>
      </c>
      <c r="C35" s="254"/>
      <c r="D35" s="254"/>
      <c r="E35" s="254"/>
      <c r="F35" s="260"/>
      <c r="G35" s="261"/>
      <c r="H35" s="261"/>
      <c r="I35" s="261"/>
      <c r="J35" s="262"/>
      <c r="K35" s="263"/>
      <c r="L35" s="263"/>
      <c r="M35" s="261"/>
      <c r="N35" s="261"/>
      <c r="O35" s="264"/>
      <c r="P35" s="278" t="s">
        <v>380</v>
      </c>
      <c r="Q35" s="49"/>
    </row>
    <row r="36" spans="1:17" s="1" customFormat="1" ht="14.25">
      <c r="A36" s="253" t="s">
        <v>157</v>
      </c>
      <c r="B36" s="278" t="s">
        <v>381</v>
      </c>
      <c r="C36" s="254"/>
      <c r="D36" s="254"/>
      <c r="E36" s="254"/>
      <c r="F36" s="260"/>
      <c r="G36" s="261"/>
      <c r="H36" s="261"/>
      <c r="I36" s="261"/>
      <c r="J36" s="262"/>
      <c r="K36" s="263"/>
      <c r="L36" s="263"/>
      <c r="M36" s="261"/>
      <c r="N36" s="261"/>
      <c r="O36" s="264"/>
      <c r="P36" s="278" t="s">
        <v>381</v>
      </c>
    </row>
    <row r="37" spans="1:17" s="1" customFormat="1" ht="14.25">
      <c r="A37" s="253" t="s">
        <v>158</v>
      </c>
      <c r="B37" s="278" t="s">
        <v>382</v>
      </c>
      <c r="C37" s="254"/>
      <c r="D37" s="254"/>
      <c r="E37" s="254"/>
      <c r="F37" s="260"/>
      <c r="G37" s="261"/>
      <c r="H37" s="261"/>
      <c r="I37" s="261"/>
      <c r="J37" s="262"/>
      <c r="K37" s="263"/>
      <c r="L37" s="263"/>
      <c r="M37" s="261"/>
      <c r="N37" s="261"/>
      <c r="O37" s="264"/>
      <c r="P37" s="278" t="s">
        <v>382</v>
      </c>
      <c r="Q37" s="49"/>
    </row>
    <row r="38" spans="1:17" s="1" customFormat="1" ht="14.25">
      <c r="A38" s="253" t="s">
        <v>159</v>
      </c>
      <c r="B38" s="278" t="s">
        <v>383</v>
      </c>
      <c r="C38" s="254"/>
      <c r="D38" s="254"/>
      <c r="E38" s="254"/>
      <c r="F38" s="260"/>
      <c r="G38" s="261"/>
      <c r="H38" s="261"/>
      <c r="I38" s="261"/>
      <c r="J38" s="262"/>
      <c r="K38" s="263"/>
      <c r="L38" s="263"/>
      <c r="M38" s="261"/>
      <c r="N38" s="261"/>
      <c r="O38" s="264"/>
      <c r="P38" s="278" t="s">
        <v>383</v>
      </c>
    </row>
    <row r="39" spans="1:17" s="1" customFormat="1" ht="14.25">
      <c r="A39" s="253" t="s">
        <v>160</v>
      </c>
      <c r="B39" s="278" t="s">
        <v>384</v>
      </c>
      <c r="C39" s="254"/>
      <c r="D39" s="254"/>
      <c r="E39" s="254"/>
      <c r="F39" s="260"/>
      <c r="G39" s="261"/>
      <c r="H39" s="261"/>
      <c r="I39" s="261"/>
      <c r="J39" s="262"/>
      <c r="K39" s="263"/>
      <c r="L39" s="263"/>
      <c r="M39" s="261"/>
      <c r="N39" s="261"/>
      <c r="O39" s="264"/>
      <c r="P39" s="278" t="s">
        <v>384</v>
      </c>
      <c r="Q39" s="49"/>
    </row>
    <row r="40" spans="1:17" s="1" customFormat="1" ht="15" thickBot="1">
      <c r="A40" s="253" t="s">
        <v>843</v>
      </c>
      <c r="B40" s="278" t="s">
        <v>308</v>
      </c>
      <c r="C40" s="254"/>
      <c r="D40" s="254"/>
      <c r="E40" s="254"/>
      <c r="F40" s="265"/>
      <c r="G40" s="266"/>
      <c r="H40" s="266"/>
      <c r="I40" s="266"/>
      <c r="J40" s="284"/>
      <c r="K40" s="285"/>
      <c r="L40" s="285"/>
      <c r="M40" s="286"/>
      <c r="N40" s="286"/>
      <c r="O40" s="287"/>
      <c r="P40" s="278" t="s">
        <v>308</v>
      </c>
    </row>
    <row r="41" spans="1:17" s="1" customFormat="1" ht="14.25">
      <c r="A41" s="253" t="s">
        <v>161</v>
      </c>
      <c r="B41" s="278" t="s">
        <v>844</v>
      </c>
      <c r="C41" s="254"/>
      <c r="D41" s="254"/>
      <c r="E41" s="254"/>
      <c r="F41" s="260"/>
      <c r="G41" s="261"/>
      <c r="H41" s="261"/>
      <c r="I41" s="261"/>
      <c r="J41" s="365"/>
      <c r="K41" s="366"/>
      <c r="L41" s="366"/>
      <c r="M41" s="364"/>
      <c r="N41" s="364"/>
      <c r="O41" s="367"/>
      <c r="P41" s="278" t="s">
        <v>844</v>
      </c>
    </row>
    <row r="42" spans="1:17" s="1" customFormat="1" ht="14.25">
      <c r="A42" s="253" t="s">
        <v>162</v>
      </c>
      <c r="B42" s="278" t="s">
        <v>845</v>
      </c>
      <c r="C42" s="254"/>
      <c r="D42" s="254"/>
      <c r="E42" s="254"/>
      <c r="F42" s="260"/>
      <c r="G42" s="261"/>
      <c r="H42" s="261"/>
      <c r="I42" s="261"/>
      <c r="J42" s="365"/>
      <c r="K42" s="366"/>
      <c r="L42" s="366"/>
      <c r="M42" s="364"/>
      <c r="N42" s="364"/>
      <c r="O42" s="367"/>
      <c r="P42" s="278" t="s">
        <v>845</v>
      </c>
    </row>
    <row r="43" spans="1:17" s="1" customFormat="1" ht="15" thickBot="1">
      <c r="A43" s="253" t="s">
        <v>163</v>
      </c>
      <c r="B43" s="278" t="s">
        <v>846</v>
      </c>
      <c r="C43" s="254"/>
      <c r="D43" s="254"/>
      <c r="E43" s="254"/>
      <c r="F43" s="260"/>
      <c r="G43" s="261"/>
      <c r="H43" s="261"/>
      <c r="I43" s="261"/>
      <c r="J43" s="365"/>
      <c r="K43" s="366"/>
      <c r="L43" s="366"/>
      <c r="M43" s="364"/>
      <c r="N43" s="364"/>
      <c r="O43" s="367"/>
      <c r="P43" s="278" t="s">
        <v>846</v>
      </c>
    </row>
    <row r="44" spans="1:17" s="239" customFormat="1" ht="16.5">
      <c r="A44" s="342"/>
      <c r="B44" s="339"/>
      <c r="C44" s="339"/>
      <c r="D44" s="339"/>
      <c r="E44" s="339"/>
      <c r="F44" s="345" t="s">
        <v>198</v>
      </c>
      <c r="G44" s="247"/>
      <c r="H44" s="248" t="s">
        <v>394</v>
      </c>
      <c r="I44" s="249"/>
      <c r="J44" s="269"/>
      <c r="K44" s="270" t="s">
        <v>394</v>
      </c>
      <c r="L44" s="271"/>
      <c r="M44" s="272"/>
      <c r="N44" s="273" t="s">
        <v>394</v>
      </c>
      <c r="O44" s="274"/>
      <c r="P44" s="350"/>
    </row>
    <row r="45" spans="1:17" s="240" customFormat="1" ht="17.25" thickBot="1">
      <c r="A45" s="343"/>
      <c r="B45" s="344" t="s">
        <v>385</v>
      </c>
      <c r="C45" s="340"/>
      <c r="D45" s="340"/>
      <c r="E45" s="340"/>
      <c r="F45" s="346" t="s">
        <v>138</v>
      </c>
      <c r="G45" s="250" t="s">
        <v>392</v>
      </c>
      <c r="H45" s="251" t="s">
        <v>393</v>
      </c>
      <c r="I45" s="252" t="s">
        <v>311</v>
      </c>
      <c r="J45" s="275" t="s">
        <v>392</v>
      </c>
      <c r="K45" s="276" t="s">
        <v>393</v>
      </c>
      <c r="L45" s="277" t="s">
        <v>311</v>
      </c>
      <c r="M45" s="250" t="s">
        <v>392</v>
      </c>
      <c r="N45" s="251" t="s">
        <v>393</v>
      </c>
      <c r="O45" s="252" t="s">
        <v>311</v>
      </c>
      <c r="P45" s="351" t="s">
        <v>385</v>
      </c>
    </row>
    <row r="46" spans="1:17" ht="14.25">
      <c r="A46" s="253" t="s">
        <v>164</v>
      </c>
      <c r="B46" s="278" t="s">
        <v>177</v>
      </c>
      <c r="C46" s="254"/>
      <c r="D46" s="254"/>
      <c r="E46" s="254"/>
      <c r="F46" s="255"/>
      <c r="G46" s="261"/>
      <c r="H46" s="261"/>
      <c r="I46" s="261"/>
      <c r="J46" s="280"/>
      <c r="K46" s="281"/>
      <c r="L46" s="281"/>
      <c r="M46" s="282"/>
      <c r="N46" s="282"/>
      <c r="O46" s="283"/>
      <c r="P46" s="278" t="s">
        <v>177</v>
      </c>
    </row>
    <row r="47" spans="1:17" ht="14.25">
      <c r="A47" s="253" t="s">
        <v>165</v>
      </c>
      <c r="B47" s="278" t="s">
        <v>386</v>
      </c>
      <c r="C47" s="254"/>
      <c r="D47" s="254"/>
      <c r="E47" s="254"/>
      <c r="F47" s="260"/>
      <c r="G47" s="261"/>
      <c r="H47" s="261"/>
      <c r="I47" s="261"/>
      <c r="J47" s="262"/>
      <c r="K47" s="263"/>
      <c r="L47" s="263"/>
      <c r="M47" s="261"/>
      <c r="N47" s="261"/>
      <c r="O47" s="264"/>
      <c r="P47" s="278" t="s">
        <v>386</v>
      </c>
      <c r="Q47" s="47"/>
    </row>
    <row r="48" spans="1:17" ht="14.25">
      <c r="A48" s="253" t="s">
        <v>166</v>
      </c>
      <c r="B48" s="278" t="s">
        <v>146</v>
      </c>
      <c r="C48" s="254"/>
      <c r="D48" s="254"/>
      <c r="E48" s="254"/>
      <c r="F48" s="260"/>
      <c r="G48" s="261"/>
      <c r="H48" s="261"/>
      <c r="I48" s="261"/>
      <c r="J48" s="262"/>
      <c r="K48" s="263"/>
      <c r="L48" s="263"/>
      <c r="M48" s="261"/>
      <c r="N48" s="261"/>
      <c r="O48" s="264"/>
      <c r="P48" s="278" t="s">
        <v>146</v>
      </c>
    </row>
    <row r="49" spans="1:17" ht="14.25">
      <c r="A49" s="253" t="s">
        <v>167</v>
      </c>
      <c r="B49" s="278" t="s">
        <v>179</v>
      </c>
      <c r="C49" s="254"/>
      <c r="D49" s="254"/>
      <c r="E49" s="254"/>
      <c r="F49" s="260"/>
      <c r="G49" s="261"/>
      <c r="H49" s="261"/>
      <c r="I49" s="261"/>
      <c r="J49" s="262"/>
      <c r="K49" s="263"/>
      <c r="L49" s="263"/>
      <c r="M49" s="261"/>
      <c r="N49" s="261"/>
      <c r="O49" s="264"/>
      <c r="P49" s="278" t="s">
        <v>179</v>
      </c>
      <c r="Q49" s="47"/>
    </row>
    <row r="50" spans="1:17" ht="15" thickBot="1">
      <c r="A50" s="253" t="s">
        <v>168</v>
      </c>
      <c r="B50" s="278" t="s">
        <v>182</v>
      </c>
      <c r="C50" s="254"/>
      <c r="D50" s="254"/>
      <c r="E50" s="254"/>
      <c r="F50" s="265"/>
      <c r="G50" s="261"/>
      <c r="H50" s="261"/>
      <c r="I50" s="261"/>
      <c r="J50" s="262"/>
      <c r="K50" s="263"/>
      <c r="L50" s="263"/>
      <c r="M50" s="261"/>
      <c r="N50" s="261"/>
      <c r="O50" s="264"/>
      <c r="P50" s="278" t="s">
        <v>182</v>
      </c>
    </row>
    <row r="51" spans="1:17" ht="16.5">
      <c r="A51" s="342"/>
      <c r="B51" s="339"/>
      <c r="C51" s="339"/>
      <c r="D51" s="339"/>
      <c r="E51" s="339"/>
      <c r="F51" s="345" t="s">
        <v>198</v>
      </c>
      <c r="G51" s="247"/>
      <c r="H51" s="248" t="s">
        <v>394</v>
      </c>
      <c r="I51" s="249"/>
      <c r="J51" s="269"/>
      <c r="K51" s="270" t="s">
        <v>394</v>
      </c>
      <c r="L51" s="271"/>
      <c r="M51" s="272"/>
      <c r="N51" s="273" t="s">
        <v>394</v>
      </c>
      <c r="O51" s="274"/>
      <c r="P51" s="341"/>
      <c r="Q51" s="50"/>
    </row>
    <row r="52" spans="1:17" ht="17.25" thickBot="1">
      <c r="A52" s="343"/>
      <c r="B52" s="344" t="s">
        <v>195</v>
      </c>
      <c r="C52" s="340"/>
      <c r="D52" s="340"/>
      <c r="E52" s="340"/>
      <c r="F52" s="346" t="s">
        <v>138</v>
      </c>
      <c r="G52" s="250" t="s">
        <v>392</v>
      </c>
      <c r="H52" s="251" t="s">
        <v>393</v>
      </c>
      <c r="I52" s="252" t="s">
        <v>311</v>
      </c>
      <c r="J52" s="275" t="s">
        <v>392</v>
      </c>
      <c r="K52" s="276" t="s">
        <v>393</v>
      </c>
      <c r="L52" s="277" t="s">
        <v>311</v>
      </c>
      <c r="M52" s="250" t="s">
        <v>392</v>
      </c>
      <c r="N52" s="251" t="s">
        <v>393</v>
      </c>
      <c r="O52" s="252" t="s">
        <v>311</v>
      </c>
      <c r="P52" s="349" t="s">
        <v>195</v>
      </c>
      <c r="Q52" s="50"/>
    </row>
    <row r="53" spans="1:17" ht="15">
      <c r="A53" s="368" t="s">
        <v>169</v>
      </c>
      <c r="B53" s="254" t="s">
        <v>825</v>
      </c>
      <c r="C53" s="254"/>
      <c r="D53" s="254"/>
      <c r="E53" s="254"/>
      <c r="F53" s="255"/>
      <c r="G53" s="261"/>
      <c r="H53" s="261"/>
      <c r="I53" s="288"/>
      <c r="J53" s="280"/>
      <c r="K53" s="281"/>
      <c r="L53" s="281"/>
      <c r="M53" s="282"/>
      <c r="N53" s="282"/>
      <c r="O53" s="283"/>
      <c r="P53" s="254" t="s">
        <v>823</v>
      </c>
    </row>
    <row r="54" spans="1:17" ht="14.25">
      <c r="A54" s="368" t="s">
        <v>170</v>
      </c>
      <c r="B54" s="254" t="s">
        <v>387</v>
      </c>
      <c r="C54" s="254"/>
      <c r="D54" s="254"/>
      <c r="E54" s="254"/>
      <c r="F54" s="260"/>
      <c r="G54" s="261"/>
      <c r="H54" s="261"/>
      <c r="I54" s="288"/>
      <c r="J54" s="262"/>
      <c r="K54" s="263"/>
      <c r="L54" s="263"/>
      <c r="M54" s="261"/>
      <c r="N54" s="261"/>
      <c r="O54" s="264"/>
      <c r="P54" s="254" t="s">
        <v>387</v>
      </c>
    </row>
    <row r="55" spans="1:17" ht="14.25">
      <c r="A55" s="368" t="s">
        <v>171</v>
      </c>
      <c r="B55" s="254" t="s">
        <v>175</v>
      </c>
      <c r="C55" s="254"/>
      <c r="D55" s="254"/>
      <c r="E55" s="254"/>
      <c r="F55" s="260"/>
      <c r="G55" s="261"/>
      <c r="H55" s="261"/>
      <c r="I55" s="288"/>
      <c r="J55" s="262"/>
      <c r="K55" s="263"/>
      <c r="L55" s="263"/>
      <c r="M55" s="261"/>
      <c r="N55" s="261"/>
      <c r="O55" s="264"/>
      <c r="P55" s="254" t="s">
        <v>175</v>
      </c>
      <c r="Q55" s="47"/>
    </row>
    <row r="56" spans="1:17" ht="14.25">
      <c r="A56" s="368" t="s">
        <v>172</v>
      </c>
      <c r="B56" s="254" t="s">
        <v>176</v>
      </c>
      <c r="C56" s="254"/>
      <c r="D56" s="254"/>
      <c r="E56" s="254"/>
      <c r="F56" s="260"/>
      <c r="G56" s="261"/>
      <c r="H56" s="261"/>
      <c r="I56" s="288"/>
      <c r="J56" s="262"/>
      <c r="K56" s="263"/>
      <c r="L56" s="263"/>
      <c r="M56" s="261"/>
      <c r="N56" s="261"/>
      <c r="O56" s="264"/>
      <c r="P56" s="254" t="s">
        <v>176</v>
      </c>
    </row>
    <row r="57" spans="1:17" ht="14.25">
      <c r="A57" s="368" t="s">
        <v>173</v>
      </c>
      <c r="B57" s="254" t="s">
        <v>388</v>
      </c>
      <c r="C57" s="254"/>
      <c r="D57" s="254"/>
      <c r="E57" s="254"/>
      <c r="F57" s="260"/>
      <c r="G57" s="261"/>
      <c r="H57" s="261"/>
      <c r="I57" s="288"/>
      <c r="J57" s="262"/>
      <c r="K57" s="263"/>
      <c r="L57" s="263"/>
      <c r="M57" s="261"/>
      <c r="N57" s="261"/>
      <c r="O57" s="264"/>
      <c r="P57" s="254" t="s">
        <v>388</v>
      </c>
      <c r="Q57" s="47"/>
    </row>
    <row r="58" spans="1:17" ht="14.25">
      <c r="A58" s="368" t="s">
        <v>174</v>
      </c>
      <c r="B58" s="254" t="s">
        <v>180</v>
      </c>
      <c r="C58" s="254"/>
      <c r="D58" s="254"/>
      <c r="E58" s="254"/>
      <c r="F58" s="260"/>
      <c r="G58" s="261"/>
      <c r="H58" s="261"/>
      <c r="I58" s="288"/>
      <c r="J58" s="262"/>
      <c r="K58" s="263"/>
      <c r="L58" s="263"/>
      <c r="M58" s="261"/>
      <c r="N58" s="261"/>
      <c r="O58" s="264"/>
      <c r="P58" s="254" t="s">
        <v>180</v>
      </c>
    </row>
    <row r="59" spans="1:17" ht="14.25">
      <c r="A59" s="368" t="s">
        <v>836</v>
      </c>
      <c r="B59" s="254" t="s">
        <v>181</v>
      </c>
      <c r="C59" s="254"/>
      <c r="D59" s="254"/>
      <c r="E59" s="254"/>
      <c r="F59" s="260"/>
      <c r="G59" s="261"/>
      <c r="H59" s="261"/>
      <c r="I59" s="288"/>
      <c r="J59" s="262"/>
      <c r="K59" s="263"/>
      <c r="L59" s="263"/>
      <c r="M59" s="261"/>
      <c r="N59" s="261"/>
      <c r="O59" s="264"/>
      <c r="P59" s="254" t="s">
        <v>181</v>
      </c>
      <c r="Q59" s="47"/>
    </row>
    <row r="60" spans="1:17" ht="14.25">
      <c r="A60" s="368" t="s">
        <v>847</v>
      </c>
      <c r="B60" s="254" t="s">
        <v>389</v>
      </c>
      <c r="C60" s="254"/>
      <c r="D60" s="254"/>
      <c r="E60" s="254"/>
      <c r="F60" s="260"/>
      <c r="G60" s="261"/>
      <c r="H60" s="261"/>
      <c r="I60" s="288"/>
      <c r="J60" s="262"/>
      <c r="K60" s="263"/>
      <c r="L60" s="263"/>
      <c r="M60" s="261"/>
      <c r="N60" s="261"/>
      <c r="O60" s="264"/>
      <c r="P60" s="254" t="s">
        <v>389</v>
      </c>
    </row>
    <row r="61" spans="1:17" ht="14.25">
      <c r="A61" s="368" t="s">
        <v>848</v>
      </c>
      <c r="B61" s="254" t="s">
        <v>391</v>
      </c>
      <c r="C61" s="254"/>
      <c r="D61" s="254"/>
      <c r="E61" s="254"/>
      <c r="F61" s="260"/>
      <c r="G61" s="261"/>
      <c r="H61" s="261"/>
      <c r="I61" s="288"/>
      <c r="J61" s="262"/>
      <c r="K61" s="263"/>
      <c r="L61" s="263"/>
      <c r="M61" s="261"/>
      <c r="N61" s="261"/>
      <c r="O61" s="264"/>
      <c r="P61" s="254" t="s">
        <v>391</v>
      </c>
      <c r="Q61" s="47"/>
    </row>
    <row r="62" spans="1:17" ht="14.25">
      <c r="A62" s="368"/>
      <c r="B62" s="254" t="s">
        <v>390</v>
      </c>
      <c r="C62" s="254"/>
      <c r="D62" s="254"/>
      <c r="E62" s="254"/>
      <c r="F62" s="289"/>
      <c r="G62" s="290"/>
      <c r="H62" s="290"/>
      <c r="I62" s="290"/>
      <c r="J62" s="290"/>
      <c r="K62" s="290"/>
      <c r="L62" s="290"/>
      <c r="M62" s="290"/>
      <c r="N62" s="290"/>
      <c r="O62" s="290"/>
      <c r="P62" s="254" t="s">
        <v>390</v>
      </c>
      <c r="Q62" s="47"/>
    </row>
    <row r="63" spans="1:17" ht="14.25">
      <c r="A63" s="368" t="s">
        <v>849</v>
      </c>
      <c r="B63" s="254" t="s">
        <v>349</v>
      </c>
      <c r="C63" s="254"/>
      <c r="D63" s="254"/>
      <c r="E63" s="254"/>
      <c r="F63" s="260"/>
      <c r="G63" s="261"/>
      <c r="H63" s="261"/>
      <c r="I63" s="288"/>
      <c r="J63" s="262"/>
      <c r="K63" s="263"/>
      <c r="L63" s="263"/>
      <c r="M63" s="261"/>
      <c r="N63" s="261"/>
      <c r="O63" s="264"/>
      <c r="P63" s="254" t="s">
        <v>349</v>
      </c>
    </row>
    <row r="64" spans="1:17">
      <c r="A64" s="60"/>
      <c r="B64" s="1"/>
      <c r="G64" s="16"/>
      <c r="H64" s="19"/>
      <c r="I64" s="18"/>
      <c r="J64" s="19"/>
      <c r="K64" s="18"/>
      <c r="L64" s="18"/>
      <c r="M64" s="18"/>
      <c r="N64" s="18"/>
      <c r="O64" s="19"/>
      <c r="P64" s="18"/>
    </row>
    <row r="65" spans="1:17" ht="18" customHeight="1">
      <c r="A65" s="297"/>
      <c r="B65" s="352" t="s">
        <v>207</v>
      </c>
      <c r="C65" s="297"/>
      <c r="D65" s="297"/>
      <c r="E65" s="297"/>
      <c r="F65" s="297"/>
      <c r="G65" s="297"/>
      <c r="H65" s="297"/>
      <c r="I65" s="353"/>
      <c r="J65" s="72"/>
      <c r="K65" s="86"/>
      <c r="L65" s="86"/>
      <c r="M65" s="86"/>
      <c r="N65" s="86"/>
      <c r="O65" s="72"/>
      <c r="P65" s="297"/>
      <c r="Q65" s="50"/>
    </row>
    <row r="66" spans="1:17"/>
    <row r="68" spans="1:17"/>
    <row r="76" spans="1:17" hidden="1">
      <c r="B76" s="22"/>
    </row>
    <row r="77" spans="1:17"/>
    <row r="78" spans="1:17"/>
    <row r="79" spans="1:17"/>
    <row r="80" spans="1:17"/>
    <row r="81"/>
    <row r="82"/>
  </sheetData>
  <sheetProtection algorithmName="SHA-512" hashValue="aHXHLWEORPMFyAzI7Sq2d3ivrEbGKgiG3ciX26Q2qy5HWCRWCVX7RrfRR7Gk6VNdx6PYqK+1A+oCeX9wmvPZ5Q==" saltValue="j9EzQEs7zgRX2nBQRasM7Q==" spinCount="100000" sheet="1" objects="1" scenarios="1" selectLockedCells="1"/>
  <phoneticPr fontId="0" type="noConversion"/>
  <pageMargins left="0.25" right="0.25" top="0.5" bottom="0.5" header="0.5" footer="0.5"/>
  <pageSetup scale="90" fitToHeight="0" orientation="portrait" r:id="rId1"/>
  <headerFooter alignWithMargins="0"/>
  <rowBreaks count="1" manualBreakCount="1">
    <brk id="64" max="40" man="1"/>
  </rowBreaks>
  <colBreaks count="1" manualBreakCount="1">
    <brk id="16" max="5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106"/>
  <sheetViews>
    <sheetView showGridLines="0" showRowColHeaders="0" zoomScaleNormal="100" zoomScaleSheetLayoutView="100" workbookViewId="0">
      <selection activeCell="F6" sqref="F6"/>
    </sheetView>
  </sheetViews>
  <sheetFormatPr defaultColWidth="0" defaultRowHeight="12.75"/>
  <cols>
    <col min="1" max="1" width="3.7109375" customWidth="1"/>
    <col min="2" max="4" width="7.7109375" customWidth="1"/>
    <col min="5" max="5" width="15.7109375" customWidth="1"/>
    <col min="6" max="6" width="7.7109375" customWidth="1"/>
    <col min="7" max="7" width="2.7109375" customWidth="1"/>
    <col min="8" max="8" width="10.7109375" customWidth="1"/>
    <col min="9" max="9" width="2.7109375" customWidth="1"/>
    <col min="10" max="10" width="10.7109375" customWidth="1"/>
    <col min="11" max="11" width="2.7109375" customWidth="1"/>
    <col min="12" max="12" width="10.7109375" customWidth="1"/>
    <col min="13" max="13" width="7.42578125" bestFit="1" customWidth="1"/>
    <col min="14" max="53" width="9.140625" hidden="1" customWidth="1"/>
  </cols>
  <sheetData>
    <row r="1" spans="1:16" ht="18.75" thickBot="1">
      <c r="A1" s="329"/>
      <c r="B1" s="338" t="s">
        <v>59</v>
      </c>
      <c r="C1" s="334"/>
      <c r="D1" s="334"/>
      <c r="E1" s="334"/>
      <c r="F1" s="334"/>
      <c r="G1" s="334"/>
      <c r="H1" s="334"/>
      <c r="I1" s="335"/>
      <c r="J1" s="334"/>
      <c r="K1" s="334"/>
      <c r="L1" s="334"/>
      <c r="M1" s="354"/>
    </row>
    <row r="2" spans="1:16" s="1" customFormat="1" ht="18" customHeight="1">
      <c r="A2" s="3" t="s">
        <v>20</v>
      </c>
      <c r="B2" s="2" t="s">
        <v>801</v>
      </c>
      <c r="D2" s="4"/>
      <c r="E2" s="16"/>
      <c r="F2" s="19"/>
      <c r="G2" s="19"/>
      <c r="H2" s="20"/>
      <c r="J2" s="56" t="s">
        <v>42</v>
      </c>
      <c r="K2" s="19"/>
      <c r="L2" s="20"/>
    </row>
    <row r="3" spans="1:16" s="1" customFormat="1" ht="12.75" customHeight="1">
      <c r="A3" s="3"/>
      <c r="C3" s="22"/>
      <c r="D3" s="22"/>
      <c r="E3" s="92"/>
      <c r="F3" s="56" t="s">
        <v>64</v>
      </c>
      <c r="G3" s="89"/>
      <c r="H3" s="186" t="s">
        <v>201</v>
      </c>
      <c r="I3" s="53"/>
      <c r="J3" s="56" t="s">
        <v>68</v>
      </c>
      <c r="K3" s="53"/>
      <c r="L3" s="56" t="s">
        <v>65</v>
      </c>
      <c r="M3" s="22"/>
      <c r="O3" s="1" t="s">
        <v>23</v>
      </c>
    </row>
    <row r="4" spans="1:16" s="1" customFormat="1" ht="12.75" customHeight="1">
      <c r="A4" s="22"/>
      <c r="C4" s="22"/>
      <c r="D4" s="22"/>
      <c r="E4" s="92"/>
      <c r="F4" s="56" t="s">
        <v>66</v>
      </c>
      <c r="G4" s="89"/>
      <c r="H4" s="56" t="s">
        <v>202</v>
      </c>
      <c r="I4" s="53"/>
      <c r="J4" s="56" t="s">
        <v>69</v>
      </c>
      <c r="K4" s="53"/>
      <c r="L4" s="56" t="s">
        <v>69</v>
      </c>
      <c r="M4" s="22"/>
      <c r="O4" s="1" t="s">
        <v>25</v>
      </c>
    </row>
    <row r="5" spans="1:16" s="1" customFormat="1" ht="12.75" customHeight="1">
      <c r="A5" s="3"/>
      <c r="D5" s="4"/>
      <c r="E5" s="93"/>
      <c r="F5" s="56" t="s">
        <v>76</v>
      </c>
      <c r="G5" s="89"/>
      <c r="H5" s="56" t="s">
        <v>12</v>
      </c>
      <c r="I5" s="53"/>
      <c r="J5" s="56" t="s">
        <v>70</v>
      </c>
      <c r="K5" s="53"/>
      <c r="L5" s="56" t="s">
        <v>199</v>
      </c>
      <c r="M5" s="22"/>
      <c r="O5" s="1" t="s">
        <v>22</v>
      </c>
    </row>
    <row r="6" spans="1:16" s="1" customFormat="1">
      <c r="B6" s="53" t="s">
        <v>406</v>
      </c>
      <c r="D6" s="4"/>
      <c r="E6" s="22"/>
      <c r="F6" s="187"/>
      <c r="G6" s="185"/>
      <c r="H6" s="223"/>
      <c r="I6" s="2" t="s">
        <v>21</v>
      </c>
      <c r="J6" s="225"/>
      <c r="K6" s="38"/>
      <c r="L6" s="225"/>
      <c r="M6" s="22"/>
      <c r="O6" s="1" t="s">
        <v>370</v>
      </c>
      <c r="P6"/>
    </row>
    <row r="7" spans="1:16" s="1" customFormat="1">
      <c r="B7" s="53" t="s">
        <v>407</v>
      </c>
      <c r="D7" s="4"/>
      <c r="E7" s="22"/>
      <c r="F7" s="187"/>
      <c r="G7" s="185"/>
      <c r="H7" s="223"/>
      <c r="I7" s="2" t="s">
        <v>21</v>
      </c>
      <c r="J7" s="225"/>
      <c r="K7" s="38"/>
      <c r="L7" s="225"/>
      <c r="M7" s="22"/>
      <c r="O7"/>
      <c r="P7"/>
    </row>
    <row r="8" spans="1:16" s="1" customFormat="1" ht="13.5">
      <c r="B8" s="53" t="s">
        <v>408</v>
      </c>
      <c r="C8"/>
      <c r="D8"/>
      <c r="E8" s="25"/>
      <c r="F8" s="187"/>
      <c r="G8" s="185"/>
      <c r="H8" s="223"/>
      <c r="I8" s="2" t="s">
        <v>21</v>
      </c>
      <c r="J8" s="225"/>
      <c r="K8" s="38"/>
      <c r="L8" s="225"/>
      <c r="M8" s="22" t="s">
        <v>141</v>
      </c>
      <c r="O8"/>
      <c r="P8"/>
    </row>
    <row r="9" spans="1:16" s="1" customFormat="1">
      <c r="C9"/>
      <c r="D9"/>
      <c r="E9" s="25"/>
      <c r="F9" s="19"/>
      <c r="G9" s="10"/>
      <c r="H9" s="44"/>
      <c r="I9" s="2"/>
      <c r="J9" s="45"/>
      <c r="K9" s="43"/>
      <c r="L9" s="225"/>
      <c r="M9" s="22" t="s">
        <v>142</v>
      </c>
      <c r="O9"/>
      <c r="P9"/>
    </row>
    <row r="10" spans="1:16" s="1" customFormat="1">
      <c r="B10" s="1" t="s">
        <v>409</v>
      </c>
      <c r="C10" s="22"/>
      <c r="D10" s="23"/>
      <c r="E10" s="25"/>
      <c r="F10" s="187"/>
      <c r="G10" s="185"/>
      <c r="H10" s="223"/>
      <c r="I10" s="2" t="s">
        <v>21</v>
      </c>
      <c r="J10" s="225"/>
      <c r="K10" s="38"/>
      <c r="L10" s="225"/>
      <c r="M10" s="22"/>
      <c r="O10"/>
      <c r="P10"/>
    </row>
    <row r="11" spans="1:16" s="1" customFormat="1">
      <c r="B11" s="1" t="s">
        <v>87</v>
      </c>
      <c r="C11" s="22"/>
      <c r="D11" s="23"/>
      <c r="E11" s="25"/>
      <c r="F11" s="187"/>
      <c r="G11" s="185"/>
      <c r="H11" s="223"/>
      <c r="I11" s="2" t="s">
        <v>21</v>
      </c>
      <c r="J11" s="225"/>
      <c r="K11" s="38"/>
      <c r="L11" s="225"/>
      <c r="M11" s="22"/>
    </row>
    <row r="12" spans="1:16" s="1" customFormat="1" hidden="1">
      <c r="B12" s="74" t="s">
        <v>93</v>
      </c>
      <c r="C12" s="22"/>
      <c r="D12" s="23"/>
      <c r="E12" s="25"/>
      <c r="F12" s="187"/>
      <c r="G12" s="185"/>
      <c r="H12" s="223"/>
      <c r="I12" s="2" t="s">
        <v>21</v>
      </c>
      <c r="J12" s="98"/>
      <c r="K12" s="38"/>
      <c r="L12" s="98"/>
      <c r="M12" s="22"/>
    </row>
    <row r="13" spans="1:16" s="1" customFormat="1">
      <c r="B13" s="1" t="s">
        <v>88</v>
      </c>
      <c r="C13" s="22"/>
      <c r="D13" s="23"/>
      <c r="E13" s="25"/>
      <c r="F13" s="187"/>
      <c r="G13" s="185"/>
      <c r="H13" s="223"/>
      <c r="I13" s="2" t="s">
        <v>21</v>
      </c>
      <c r="J13" s="37"/>
      <c r="K13" s="37"/>
      <c r="L13" s="37"/>
      <c r="M13" s="22"/>
    </row>
    <row r="14" spans="1:16" s="1" customFormat="1">
      <c r="B14" s="1" t="s">
        <v>89</v>
      </c>
      <c r="C14" s="22"/>
      <c r="D14" s="23"/>
      <c r="E14" s="25"/>
      <c r="F14" s="187"/>
      <c r="G14" s="185"/>
      <c r="H14" s="223"/>
      <c r="I14" s="2" t="s">
        <v>21</v>
      </c>
      <c r="J14" s="37"/>
      <c r="K14" s="37"/>
      <c r="L14" s="37"/>
      <c r="M14" s="22"/>
    </row>
    <row r="15" spans="1:16" s="1" customFormat="1">
      <c r="B15" s="1" t="s">
        <v>90</v>
      </c>
      <c r="C15" s="22"/>
      <c r="D15" s="23"/>
      <c r="E15" s="25"/>
      <c r="F15" s="187"/>
      <c r="G15" s="185"/>
      <c r="H15" s="223"/>
      <c r="I15" s="2" t="s">
        <v>21</v>
      </c>
      <c r="J15" s="37"/>
      <c r="K15" s="37"/>
      <c r="L15" s="37"/>
      <c r="M15" s="22"/>
    </row>
    <row r="16" spans="1:16" s="1" customFormat="1">
      <c r="B16" s="1" t="s">
        <v>91</v>
      </c>
      <c r="C16" s="22"/>
      <c r="D16" s="23"/>
      <c r="E16" s="25"/>
      <c r="F16" s="187"/>
      <c r="G16" s="185"/>
      <c r="H16" s="223"/>
      <c r="I16" s="2" t="s">
        <v>21</v>
      </c>
      <c r="J16" s="37"/>
      <c r="K16" s="37"/>
      <c r="L16" s="37"/>
      <c r="M16" s="22"/>
    </row>
    <row r="17" spans="1:13" s="1" customFormat="1">
      <c r="A17" s="3"/>
      <c r="B17" s="172" t="s">
        <v>92</v>
      </c>
      <c r="C17" s="22"/>
      <c r="D17" s="22"/>
      <c r="E17" s="21"/>
      <c r="F17" s="21"/>
      <c r="G17" s="21"/>
      <c r="H17" s="21"/>
      <c r="I17" s="21"/>
      <c r="J17" s="21"/>
      <c r="K17" s="21"/>
      <c r="L17" s="21"/>
      <c r="M17" s="22"/>
    </row>
    <row r="18" spans="1:13" s="1" customFormat="1" ht="12.75" hidden="1" customHeight="1">
      <c r="A18" s="3" t="s">
        <v>55</v>
      </c>
      <c r="B18" s="2" t="s">
        <v>63</v>
      </c>
    </row>
    <row r="19" spans="1:13" s="1" customFormat="1" ht="12.75" hidden="1" customHeight="1">
      <c r="A19" s="30"/>
      <c r="B19" s="74"/>
      <c r="C19" s="74"/>
      <c r="D19" s="74"/>
      <c r="E19" s="94"/>
      <c r="F19" s="95" t="s">
        <v>64</v>
      </c>
      <c r="G19" s="95"/>
      <c r="H19" s="94" t="s">
        <v>201</v>
      </c>
      <c r="I19" s="96"/>
      <c r="J19" s="94" t="s">
        <v>42</v>
      </c>
      <c r="K19" s="96"/>
      <c r="L19" s="94" t="s">
        <v>65</v>
      </c>
      <c r="M19" s="85"/>
    </row>
    <row r="20" spans="1:13" s="1" customFormat="1" ht="12.75" hidden="1" customHeight="1">
      <c r="B20" s="74"/>
      <c r="C20" s="74"/>
      <c r="D20" s="74"/>
      <c r="E20" s="94"/>
      <c r="F20" s="95" t="s">
        <v>66</v>
      </c>
      <c r="G20" s="95"/>
      <c r="H20" s="94" t="s">
        <v>202</v>
      </c>
      <c r="I20" s="96"/>
      <c r="J20" s="94" t="s">
        <v>68</v>
      </c>
      <c r="K20" s="96"/>
      <c r="L20" s="94" t="s">
        <v>69</v>
      </c>
      <c r="M20" s="85"/>
    </row>
    <row r="21" spans="1:13" ht="12.75" hidden="1" customHeight="1">
      <c r="A21" s="3"/>
      <c r="B21" s="90"/>
      <c r="C21" s="90"/>
      <c r="D21" s="90"/>
      <c r="E21" s="97"/>
      <c r="F21" s="95" t="s">
        <v>76</v>
      </c>
      <c r="G21" s="95"/>
      <c r="H21" s="94" t="s">
        <v>67</v>
      </c>
      <c r="I21" s="96"/>
      <c r="J21" s="94" t="s">
        <v>70</v>
      </c>
      <c r="K21" s="96"/>
      <c r="L21" s="94" t="s">
        <v>199</v>
      </c>
      <c r="M21" s="72"/>
    </row>
    <row r="22" spans="1:13" hidden="1">
      <c r="A22" s="32" t="s">
        <v>77</v>
      </c>
      <c r="B22" s="1" t="s">
        <v>71</v>
      </c>
      <c r="C22" s="29"/>
      <c r="D22" s="29"/>
      <c r="E22" s="1"/>
      <c r="F22" s="87"/>
      <c r="G22" s="87"/>
      <c r="H22" s="73"/>
      <c r="I22" s="5" t="s">
        <v>21</v>
      </c>
      <c r="J22" s="98"/>
      <c r="K22" s="38"/>
      <c r="L22" s="98"/>
    </row>
    <row r="23" spans="1:13" hidden="1">
      <c r="A23" s="3"/>
      <c r="B23" s="1" t="s">
        <v>72</v>
      </c>
      <c r="C23" s="1"/>
      <c r="D23" s="1"/>
      <c r="E23" s="1"/>
      <c r="F23" s="87"/>
      <c r="G23" s="87"/>
      <c r="H23" s="73"/>
      <c r="I23" s="5" t="s">
        <v>21</v>
      </c>
      <c r="J23" s="98"/>
      <c r="K23" s="38"/>
      <c r="L23" s="98"/>
    </row>
    <row r="24" spans="1:13" hidden="1">
      <c r="A24" s="30"/>
      <c r="B24" s="1" t="s">
        <v>73</v>
      </c>
      <c r="C24" s="1"/>
      <c r="D24" s="1"/>
      <c r="E24" s="22"/>
      <c r="F24" s="87"/>
      <c r="G24" s="87"/>
      <c r="H24" s="73"/>
      <c r="I24" s="5" t="s">
        <v>21</v>
      </c>
      <c r="J24" s="98"/>
      <c r="K24" s="38"/>
      <c r="L24" s="98"/>
    </row>
    <row r="25" spans="1:13" s="1" customFormat="1" hidden="1">
      <c r="A25" s="3"/>
      <c r="B25" s="1" t="s">
        <v>74</v>
      </c>
      <c r="E25" s="5"/>
      <c r="F25" s="87"/>
      <c r="G25" s="87"/>
      <c r="H25" s="73"/>
      <c r="I25" s="5" t="s">
        <v>21</v>
      </c>
      <c r="J25" s="98"/>
      <c r="K25" s="38"/>
      <c r="L25" s="98"/>
    </row>
    <row r="26" spans="1:13" s="1" customFormat="1" hidden="1">
      <c r="A26" s="3"/>
      <c r="B26" s="1" t="s">
        <v>75</v>
      </c>
      <c r="E26" s="16"/>
      <c r="F26" s="87"/>
      <c r="G26" s="87"/>
      <c r="H26" s="73"/>
      <c r="I26" s="5" t="s">
        <v>21</v>
      </c>
      <c r="J26" s="98"/>
      <c r="K26" s="38"/>
      <c r="L26" s="98"/>
    </row>
    <row r="27" spans="1:13" s="1" customFormat="1" hidden="1">
      <c r="A27" s="3"/>
      <c r="B27" s="1" t="s">
        <v>209</v>
      </c>
      <c r="E27" s="16"/>
      <c r="F27" s="87"/>
      <c r="G27" s="87"/>
      <c r="H27" s="73"/>
      <c r="I27" s="5" t="s">
        <v>21</v>
      </c>
      <c r="J27" s="98"/>
      <c r="K27" s="38"/>
      <c r="L27" s="98"/>
    </row>
    <row r="28" spans="1:13" s="1" customFormat="1" ht="15" customHeight="1">
      <c r="A28" s="3" t="s">
        <v>131</v>
      </c>
      <c r="B28" s="1" t="s">
        <v>365</v>
      </c>
      <c r="E28" s="16"/>
      <c r="F28" s="30"/>
      <c r="G28" s="30"/>
      <c r="H28" s="16"/>
      <c r="I28" s="5"/>
      <c r="J28" s="10"/>
      <c r="K28" s="188" t="s">
        <v>802</v>
      </c>
      <c r="L28" s="226"/>
      <c r="M28" s="170"/>
    </row>
    <row r="29" spans="1:13" s="1" customFormat="1" ht="15" customHeight="1">
      <c r="A29" s="3" t="s">
        <v>132</v>
      </c>
      <c r="B29" s="1" t="s">
        <v>60</v>
      </c>
      <c r="E29" s="16"/>
      <c r="F29" s="30"/>
      <c r="G29" s="30"/>
      <c r="H29" s="16"/>
      <c r="I29" s="5"/>
      <c r="J29" s="10"/>
      <c r="K29" s="188"/>
      <c r="M29" s="170"/>
    </row>
    <row r="30" spans="1:13" s="1" customFormat="1">
      <c r="A30" s="3"/>
      <c r="B30" s="1" t="s">
        <v>61</v>
      </c>
      <c r="E30" s="16"/>
      <c r="F30" s="30"/>
      <c r="G30" s="30"/>
      <c r="H30" s="16"/>
      <c r="I30" s="5"/>
      <c r="J30" s="10"/>
      <c r="K30" s="188" t="s">
        <v>802</v>
      </c>
      <c r="L30" s="226"/>
      <c r="M30" s="170"/>
    </row>
    <row r="31" spans="1:13" s="1" customFormat="1" ht="15" customHeight="1">
      <c r="A31" s="3" t="s">
        <v>133</v>
      </c>
      <c r="B31" s="99" t="s">
        <v>803</v>
      </c>
      <c r="E31" s="25"/>
      <c r="H31" s="20"/>
      <c r="I31" s="10"/>
      <c r="J31" s="31"/>
      <c r="K31" s="24"/>
    </row>
    <row r="32" spans="1:13" s="1" customFormat="1">
      <c r="A32" s="3"/>
      <c r="C32" s="1" t="s">
        <v>79</v>
      </c>
      <c r="D32" s="78"/>
      <c r="E32" s="209"/>
      <c r="F32" s="78"/>
      <c r="G32" s="189"/>
      <c r="H32" s="78"/>
      <c r="I32" s="190"/>
      <c r="J32" s="78"/>
      <c r="K32" s="191" t="s">
        <v>32</v>
      </c>
      <c r="L32" s="227"/>
    </row>
    <row r="33" spans="1:16" s="1" customFormat="1">
      <c r="A33" s="3"/>
      <c r="C33" s="88" t="s">
        <v>80</v>
      </c>
      <c r="E33" s="25"/>
      <c r="G33" s="30"/>
      <c r="I33" s="10"/>
      <c r="J33" s="31"/>
      <c r="K33" s="30"/>
      <c r="L33" s="18"/>
    </row>
    <row r="34" spans="1:16" s="1" customFormat="1">
      <c r="A34" s="3"/>
      <c r="C34" s="91" t="s">
        <v>81</v>
      </c>
      <c r="D34" s="4"/>
      <c r="E34" s="209"/>
      <c r="F34" s="78"/>
      <c r="G34" s="189"/>
      <c r="H34" s="78"/>
      <c r="I34" s="78"/>
      <c r="J34" s="192"/>
      <c r="K34" s="191" t="s">
        <v>32</v>
      </c>
      <c r="L34" s="227"/>
    </row>
    <row r="35" spans="1:16" s="1" customFormat="1">
      <c r="C35" s="91" t="s">
        <v>82</v>
      </c>
      <c r="D35" s="4"/>
      <c r="E35" s="202"/>
      <c r="F35" s="77"/>
      <c r="G35" s="203"/>
      <c r="H35" s="77"/>
      <c r="I35" s="193"/>
      <c r="J35" s="193"/>
      <c r="K35" s="194" t="s">
        <v>32</v>
      </c>
      <c r="L35" s="227"/>
    </row>
    <row r="36" spans="1:16" s="1" customFormat="1">
      <c r="C36" s="1" t="s">
        <v>83</v>
      </c>
      <c r="D36" s="82"/>
      <c r="E36" s="210"/>
      <c r="F36" s="77"/>
      <c r="G36" s="203"/>
      <c r="H36" s="77"/>
      <c r="I36" s="193"/>
      <c r="J36" s="195"/>
      <c r="K36" s="194" t="s">
        <v>32</v>
      </c>
      <c r="L36" s="227"/>
    </row>
    <row r="37" spans="1:16" s="1" customFormat="1" ht="15" customHeight="1">
      <c r="A37" s="3" t="s">
        <v>134</v>
      </c>
      <c r="B37" s="1" t="s">
        <v>0</v>
      </c>
      <c r="C37" s="143"/>
      <c r="D37" s="143"/>
      <c r="E37" s="143"/>
      <c r="F37" s="30"/>
      <c r="G37" s="30"/>
      <c r="I37" s="77"/>
      <c r="J37" s="77"/>
      <c r="K37" s="197"/>
      <c r="L37" s="222"/>
      <c r="M37" s="1" t="s">
        <v>130</v>
      </c>
      <c r="O37"/>
      <c r="P37"/>
    </row>
    <row r="38" spans="1:16" s="1" customFormat="1" ht="12.75" customHeight="1">
      <c r="A38" s="3"/>
      <c r="B38" s="196" t="s">
        <v>804</v>
      </c>
      <c r="C38" s="143"/>
      <c r="D38" s="143"/>
      <c r="E38" s="143"/>
      <c r="F38" s="30"/>
      <c r="G38" s="30"/>
      <c r="I38" s="53"/>
      <c r="L38" s="31"/>
      <c r="O38"/>
      <c r="P38"/>
    </row>
    <row r="39" spans="1:16" s="1" customFormat="1" ht="12.75" customHeight="1">
      <c r="A39" s="3"/>
      <c r="B39" s="196" t="s">
        <v>805</v>
      </c>
      <c r="C39" s="143"/>
      <c r="D39" s="143"/>
      <c r="E39" s="143"/>
      <c r="F39" s="30"/>
      <c r="G39" s="30"/>
      <c r="I39" s="53"/>
      <c r="L39" s="31"/>
      <c r="O39"/>
      <c r="P39"/>
    </row>
    <row r="40" spans="1:16" s="1" customFormat="1" ht="18" customHeight="1">
      <c r="A40" s="3" t="s">
        <v>135</v>
      </c>
      <c r="B40" s="2" t="s">
        <v>94</v>
      </c>
      <c r="D40" s="4"/>
      <c r="E40" s="16"/>
      <c r="F40" s="19"/>
      <c r="G40" s="19"/>
      <c r="H40" s="26"/>
      <c r="I40" s="172"/>
      <c r="J40" s="23"/>
      <c r="K40" s="25"/>
      <c r="L40" s="89" t="s">
        <v>64</v>
      </c>
      <c r="M40" s="22"/>
    </row>
    <row r="41" spans="1:16" s="1" customFormat="1" ht="12.75" customHeight="1">
      <c r="A41" s="3"/>
      <c r="C41" s="22"/>
      <c r="D41" s="22"/>
      <c r="E41" s="23"/>
      <c r="H41" s="26"/>
      <c r="J41" s="16"/>
      <c r="K41" s="24"/>
      <c r="L41" s="89" t="s">
        <v>66</v>
      </c>
      <c r="M41" s="22"/>
    </row>
    <row r="42" spans="1:16" s="1" customFormat="1" ht="12.75" customHeight="1">
      <c r="A42" s="22"/>
      <c r="C42" s="22"/>
      <c r="D42" s="22"/>
      <c r="E42" s="23"/>
      <c r="H42" s="26"/>
      <c r="I42" s="53"/>
      <c r="J42" s="16"/>
      <c r="K42" s="27"/>
      <c r="L42" s="89" t="s">
        <v>76</v>
      </c>
      <c r="M42" s="22"/>
    </row>
    <row r="43" spans="1:16" s="1" customFormat="1" ht="12.75" hidden="1" customHeight="1">
      <c r="A43" s="22"/>
      <c r="C43" s="22"/>
      <c r="D43" s="22"/>
      <c r="E43" s="23"/>
      <c r="H43" s="26"/>
      <c r="I43" s="96" t="s">
        <v>800</v>
      </c>
      <c r="J43" s="182"/>
      <c r="K43" s="183"/>
      <c r="L43" s="89" t="s">
        <v>76</v>
      </c>
      <c r="M43" s="75"/>
    </row>
    <row r="44" spans="1:16" ht="12.75" customHeight="1">
      <c r="A44" s="3"/>
      <c r="C44" s="1" t="s">
        <v>1</v>
      </c>
      <c r="D44" s="4"/>
      <c r="E44" s="16"/>
      <c r="H44" s="26"/>
      <c r="I44" s="22"/>
      <c r="J44" s="23"/>
      <c r="K44" s="25"/>
      <c r="L44" s="226"/>
      <c r="M44" s="22"/>
      <c r="P44" s="1"/>
    </row>
    <row r="45" spans="1:16" s="1" customFormat="1">
      <c r="C45" s="1" t="s">
        <v>95</v>
      </c>
      <c r="E45" s="205"/>
      <c r="F45" s="78"/>
      <c r="G45" s="78"/>
      <c r="H45" s="198"/>
      <c r="I45" s="199"/>
      <c r="J45" s="189"/>
      <c r="K45" s="206"/>
      <c r="L45" s="226"/>
      <c r="M45" s="22"/>
    </row>
    <row r="46" spans="1:16">
      <c r="A46" s="1"/>
      <c r="C46" s="1" t="s">
        <v>96</v>
      </c>
      <c r="D46" s="23"/>
      <c r="E46" s="25"/>
      <c r="H46" s="198"/>
      <c r="I46" s="199"/>
      <c r="J46" s="189"/>
      <c r="K46" s="200"/>
      <c r="L46" s="226"/>
      <c r="M46" s="22"/>
      <c r="P46" s="1"/>
    </row>
    <row r="47" spans="1:16">
      <c r="A47" s="1"/>
      <c r="C47" s="1" t="s">
        <v>97</v>
      </c>
      <c r="D47" s="23"/>
      <c r="E47" s="25"/>
      <c r="H47" s="201"/>
      <c r="I47" s="202"/>
      <c r="J47" s="203"/>
      <c r="K47" s="204"/>
      <c r="L47" s="226"/>
      <c r="M47" s="22"/>
      <c r="P47" s="1"/>
    </row>
    <row r="48" spans="1:16" ht="12.75" customHeight="1">
      <c r="A48" s="74"/>
      <c r="C48" s="1" t="s">
        <v>98</v>
      </c>
      <c r="D48" s="23"/>
      <c r="E48" s="25"/>
      <c r="F48" s="82"/>
      <c r="G48" s="82"/>
      <c r="H48" s="198"/>
      <c r="I48" s="199"/>
      <c r="J48" s="207"/>
      <c r="K48" s="208"/>
      <c r="L48" s="226"/>
      <c r="M48" s="22"/>
    </row>
    <row r="49" spans="1:13" ht="15" customHeight="1">
      <c r="A49" s="1"/>
      <c r="B49" s="22"/>
      <c r="C49" s="53" t="s">
        <v>2</v>
      </c>
      <c r="E49" s="25"/>
      <c r="F49" s="25"/>
      <c r="G49" s="25"/>
      <c r="K49" s="188" t="s">
        <v>802</v>
      </c>
      <c r="L49" s="226"/>
      <c r="M49" s="22"/>
    </row>
    <row r="50" spans="1:13" ht="12.75" customHeight="1">
      <c r="A50" s="22"/>
      <c r="B50" s="22"/>
      <c r="C50" s="53" t="s">
        <v>4</v>
      </c>
      <c r="F50" s="25"/>
      <c r="G50" s="25"/>
      <c r="H50" s="22"/>
      <c r="J50" s="25"/>
      <c r="L50" s="227"/>
      <c r="M50" s="22" t="s">
        <v>32</v>
      </c>
    </row>
    <row r="51" spans="1:13" ht="12.75" customHeight="1">
      <c r="A51" s="22"/>
      <c r="B51" s="22"/>
      <c r="C51" s="53" t="s">
        <v>3</v>
      </c>
      <c r="E51" s="18"/>
      <c r="F51" s="25"/>
      <c r="G51" s="25"/>
      <c r="H51" s="22"/>
      <c r="I51" s="16"/>
      <c r="J51" s="25"/>
      <c r="L51" s="223"/>
      <c r="M51" s="211" t="s">
        <v>21</v>
      </c>
    </row>
    <row r="52" spans="1:13" ht="18" customHeight="1">
      <c r="A52" s="3" t="s">
        <v>136</v>
      </c>
      <c r="B52" s="2" t="s">
        <v>99</v>
      </c>
      <c r="C52" s="22"/>
      <c r="D52" s="22"/>
      <c r="E52" s="23"/>
      <c r="F52" s="25"/>
      <c r="G52" s="25"/>
      <c r="H52" s="26"/>
      <c r="I52" s="22"/>
      <c r="J52" s="23"/>
      <c r="K52" s="25"/>
      <c r="L52" s="89" t="s">
        <v>64</v>
      </c>
      <c r="M52" s="22"/>
    </row>
    <row r="53" spans="1:13" ht="12.75" customHeight="1">
      <c r="A53" s="22"/>
      <c r="B53" s="89"/>
      <c r="C53" s="22"/>
      <c r="D53" s="22"/>
      <c r="E53" s="23"/>
      <c r="F53" s="25"/>
      <c r="G53" s="25"/>
      <c r="H53" s="26"/>
      <c r="I53" s="22"/>
      <c r="J53" s="23"/>
      <c r="K53" s="25"/>
      <c r="L53" s="89" t="s">
        <v>66</v>
      </c>
      <c r="M53" s="22"/>
    </row>
    <row r="54" spans="1:13" ht="12.75" customHeight="1">
      <c r="A54" s="22"/>
      <c r="B54" s="89"/>
      <c r="C54" s="22"/>
      <c r="D54" s="22"/>
      <c r="E54" s="23"/>
      <c r="F54" s="25"/>
      <c r="G54" s="25"/>
      <c r="H54" s="26"/>
      <c r="I54" s="22"/>
      <c r="J54" s="23"/>
      <c r="K54" s="25"/>
      <c r="L54" s="89" t="s">
        <v>76</v>
      </c>
      <c r="M54" s="22"/>
    </row>
    <row r="55" spans="1:13" ht="12.75" customHeight="1">
      <c r="A55" s="22"/>
      <c r="C55" s="1" t="s">
        <v>100</v>
      </c>
      <c r="D55" s="22"/>
      <c r="E55" s="23"/>
      <c r="F55" s="25"/>
      <c r="G55" s="25"/>
      <c r="H55" s="198"/>
      <c r="I55" s="199"/>
      <c r="J55" s="207"/>
      <c r="K55" s="208"/>
      <c r="L55" s="226"/>
      <c r="M55" s="22"/>
    </row>
    <row r="56" spans="1:13" ht="12.75" customHeight="1">
      <c r="A56" s="22"/>
      <c r="C56" s="1" t="s">
        <v>101</v>
      </c>
      <c r="D56" s="22"/>
      <c r="E56" s="23"/>
      <c r="F56" s="25"/>
      <c r="G56" s="25"/>
      <c r="H56" s="201"/>
      <c r="I56" s="202"/>
      <c r="J56" s="210"/>
      <c r="K56" s="212"/>
      <c r="L56" s="226"/>
      <c r="M56" s="22"/>
    </row>
    <row r="57" spans="1:13" ht="12.75" customHeight="1">
      <c r="A57" s="22"/>
      <c r="C57" s="1" t="s">
        <v>102</v>
      </c>
      <c r="D57" s="22"/>
      <c r="E57" s="23"/>
      <c r="F57" s="205"/>
      <c r="G57" s="205"/>
      <c r="H57" s="201"/>
      <c r="I57" s="202"/>
      <c r="J57" s="210"/>
      <c r="K57" s="212"/>
      <c r="L57" s="226"/>
      <c r="M57" s="22"/>
    </row>
    <row r="58" spans="1:13" ht="12.75" customHeight="1">
      <c r="A58" s="22"/>
      <c r="C58" s="1" t="s">
        <v>103</v>
      </c>
      <c r="D58" s="22"/>
      <c r="E58" s="207"/>
      <c r="F58" s="205"/>
      <c r="G58" s="205"/>
      <c r="H58" s="201"/>
      <c r="I58" s="202"/>
      <c r="J58" s="210"/>
      <c r="K58" s="212"/>
      <c r="L58" s="226"/>
      <c r="M58" s="22"/>
    </row>
    <row r="59" spans="1:13" ht="12.75" customHeight="1">
      <c r="A59" s="22"/>
      <c r="C59" s="1" t="s">
        <v>104</v>
      </c>
      <c r="D59" s="22"/>
      <c r="E59" s="23"/>
      <c r="F59" s="213"/>
      <c r="G59" s="213"/>
      <c r="H59" s="201"/>
      <c r="I59" s="202"/>
      <c r="J59" s="210"/>
      <c r="K59" s="212"/>
      <c r="L59" s="226"/>
      <c r="M59" s="22"/>
    </row>
    <row r="60" spans="1:13" ht="12.75" hidden="1" customHeight="1">
      <c r="A60" s="22"/>
      <c r="B60" s="87"/>
      <c r="C60" s="130" t="s">
        <v>105</v>
      </c>
      <c r="D60" s="22"/>
      <c r="E60" s="23"/>
      <c r="F60" s="25"/>
      <c r="G60" s="25"/>
      <c r="H60" s="26"/>
      <c r="I60" s="22"/>
      <c r="J60" s="23"/>
      <c r="K60" s="25"/>
      <c r="L60" s="26"/>
      <c r="M60" s="22"/>
    </row>
    <row r="61" spans="1:13" hidden="1">
      <c r="A61" s="22"/>
      <c r="B61" s="87"/>
      <c r="C61" s="130" t="s">
        <v>106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1:13" ht="6" customHeight="1">
      <c r="B62" s="1"/>
      <c r="C62" s="1"/>
    </row>
    <row r="63" spans="1:13" ht="12.75" hidden="1" customHeight="1">
      <c r="A63" s="3" t="s">
        <v>62</v>
      </c>
      <c r="B63" s="1" t="s">
        <v>107</v>
      </c>
    </row>
    <row r="64" spans="1:13" ht="12.75" hidden="1" customHeight="1">
      <c r="B64" s="89" t="s">
        <v>64</v>
      </c>
    </row>
    <row r="65" spans="1:13" ht="12.75" hidden="1" customHeight="1">
      <c r="B65" s="89" t="s">
        <v>66</v>
      </c>
    </row>
    <row r="66" spans="1:13" ht="12.75" hidden="1" customHeight="1">
      <c r="B66" s="89" t="s">
        <v>76</v>
      </c>
    </row>
    <row r="67" spans="1:13" hidden="1">
      <c r="B67" s="87"/>
      <c r="C67" s="130" t="s">
        <v>109</v>
      </c>
    </row>
    <row r="68" spans="1:13" hidden="1">
      <c r="B68" s="87"/>
      <c r="C68" s="130" t="s">
        <v>110</v>
      </c>
    </row>
    <row r="69" spans="1:13" hidden="1">
      <c r="B69" s="87"/>
      <c r="C69" s="130" t="s">
        <v>108</v>
      </c>
    </row>
    <row r="70" spans="1:13" hidden="1">
      <c r="B70" s="87"/>
      <c r="C70" s="130" t="s">
        <v>111</v>
      </c>
    </row>
    <row r="71" spans="1:13">
      <c r="A71" s="3" t="s">
        <v>48</v>
      </c>
      <c r="B71" s="1" t="s">
        <v>5</v>
      </c>
      <c r="K71" s="188" t="s">
        <v>802</v>
      </c>
      <c r="L71" s="226"/>
    </row>
    <row r="72" spans="1:13" ht="6" customHeight="1">
      <c r="A72" s="3"/>
      <c r="B72" s="1"/>
      <c r="J72" s="30"/>
      <c r="K72" s="27"/>
    </row>
    <row r="73" spans="1:13" ht="12.75" customHeight="1">
      <c r="A73" s="3" t="s">
        <v>49</v>
      </c>
      <c r="B73" s="1" t="s">
        <v>185</v>
      </c>
    </row>
    <row r="74" spans="1:13">
      <c r="C74" s="1" t="s">
        <v>6</v>
      </c>
      <c r="H74" s="82"/>
      <c r="I74" s="82"/>
      <c r="J74" s="82"/>
      <c r="K74" s="83"/>
      <c r="L74" s="224"/>
      <c r="M74" t="s">
        <v>130</v>
      </c>
    </row>
    <row r="75" spans="1:13">
      <c r="C75" s="1" t="s">
        <v>7</v>
      </c>
      <c r="H75" s="76"/>
      <c r="I75" s="76"/>
      <c r="J75" s="76"/>
      <c r="K75" s="84"/>
      <c r="L75" s="228"/>
      <c r="M75" t="s">
        <v>130</v>
      </c>
    </row>
    <row r="76" spans="1:13">
      <c r="C76" s="1" t="s">
        <v>8</v>
      </c>
      <c r="H76" s="76"/>
      <c r="I76" s="76"/>
      <c r="J76" s="76"/>
      <c r="K76" s="84"/>
      <c r="L76" s="228"/>
      <c r="M76" t="s">
        <v>130</v>
      </c>
    </row>
    <row r="77" spans="1:13">
      <c r="C77" s="1" t="s">
        <v>9</v>
      </c>
      <c r="H77" s="76"/>
      <c r="I77" s="76"/>
      <c r="J77" s="76"/>
      <c r="K77" s="84"/>
      <c r="L77" s="228"/>
      <c r="M77" t="s">
        <v>130</v>
      </c>
    </row>
    <row r="78" spans="1:13">
      <c r="C78" s="1" t="s">
        <v>10</v>
      </c>
      <c r="H78" s="76"/>
      <c r="I78" s="76"/>
      <c r="J78" s="76"/>
      <c r="K78" s="84"/>
      <c r="L78" s="228"/>
      <c r="M78" t="s">
        <v>130</v>
      </c>
    </row>
    <row r="79" spans="1:13" ht="15" customHeight="1">
      <c r="A79" s="3" t="s">
        <v>50</v>
      </c>
      <c r="B79" s="1" t="s">
        <v>114</v>
      </c>
    </row>
    <row r="80" spans="1:13">
      <c r="I80" s="19" t="s">
        <v>115</v>
      </c>
      <c r="K80" s="115" t="s">
        <v>56</v>
      </c>
      <c r="L80" s="228"/>
    </row>
    <row r="81" spans="1:16" ht="15" customHeight="1">
      <c r="A81" s="3" t="s">
        <v>51</v>
      </c>
      <c r="B81" s="53" t="s">
        <v>410</v>
      </c>
      <c r="H81" s="82"/>
      <c r="I81" s="82"/>
      <c r="J81" s="82"/>
      <c r="K81" s="188" t="s">
        <v>802</v>
      </c>
      <c r="L81" s="226"/>
    </row>
    <row r="82" spans="1:16" ht="15" customHeight="1">
      <c r="A82" s="3" t="s">
        <v>52</v>
      </c>
      <c r="B82" s="53" t="s">
        <v>411</v>
      </c>
      <c r="F82" s="82"/>
      <c r="G82" s="82"/>
      <c r="H82" s="82"/>
      <c r="I82" s="82"/>
      <c r="J82" s="82"/>
      <c r="K82" s="214"/>
      <c r="L82" s="228"/>
      <c r="M82" t="s">
        <v>130</v>
      </c>
    </row>
    <row r="83" spans="1:16" ht="15" hidden="1" customHeight="1">
      <c r="A83" s="3" t="s">
        <v>112</v>
      </c>
      <c r="B83" s="168" t="s">
        <v>203</v>
      </c>
      <c r="K83" s="166"/>
      <c r="L83" s="229"/>
    </row>
    <row r="84" spans="1:16" ht="13.5" hidden="1">
      <c r="A84" s="3"/>
      <c r="B84" s="89" t="s">
        <v>76</v>
      </c>
      <c r="F84" s="6" t="s">
        <v>76</v>
      </c>
      <c r="G84" s="6"/>
      <c r="K84" s="5" t="s">
        <v>76</v>
      </c>
      <c r="L84" s="229"/>
    </row>
    <row r="85" spans="1:16" ht="15" hidden="1" customHeight="1">
      <c r="B85" s="169"/>
      <c r="C85" s="1" t="s">
        <v>117</v>
      </c>
      <c r="D85" s="1"/>
      <c r="E85" s="1"/>
      <c r="F85" s="87"/>
      <c r="G85" s="184"/>
      <c r="H85" s="1" t="s">
        <v>307</v>
      </c>
      <c r="K85" s="167"/>
      <c r="L85" s="229"/>
    </row>
    <row r="86" spans="1:16" hidden="1">
      <c r="B86" s="169"/>
      <c r="C86" s="1" t="s">
        <v>118</v>
      </c>
      <c r="D86" s="1"/>
      <c r="E86" s="1"/>
      <c r="F86" s="87"/>
      <c r="G86" s="184"/>
      <c r="H86" s="1" t="s">
        <v>124</v>
      </c>
      <c r="K86" s="167"/>
      <c r="L86" s="229"/>
    </row>
    <row r="87" spans="1:16" hidden="1">
      <c r="B87" s="169"/>
      <c r="C87" s="1" t="s">
        <v>119</v>
      </c>
      <c r="D87" s="1"/>
      <c r="E87" s="1"/>
      <c r="F87" s="87"/>
      <c r="G87" s="184"/>
      <c r="H87" s="1" t="s">
        <v>125</v>
      </c>
      <c r="K87" s="167"/>
      <c r="L87" s="229"/>
    </row>
    <row r="88" spans="1:16" hidden="1">
      <c r="B88" s="169"/>
      <c r="C88" s="1" t="s">
        <v>120</v>
      </c>
      <c r="D88" s="1"/>
      <c r="E88" s="1"/>
      <c r="F88" s="87"/>
      <c r="G88" s="184"/>
      <c r="H88" s="1" t="s">
        <v>126</v>
      </c>
      <c r="K88" s="167"/>
      <c r="L88" s="229"/>
    </row>
    <row r="89" spans="1:16" hidden="1">
      <c r="B89" s="169"/>
      <c r="C89" s="1" t="s">
        <v>121</v>
      </c>
      <c r="D89" s="1"/>
      <c r="E89" s="1"/>
      <c r="F89" s="87"/>
      <c r="G89" s="184"/>
      <c r="H89" s="1" t="s">
        <v>123</v>
      </c>
      <c r="K89" s="167"/>
      <c r="L89" s="229"/>
    </row>
    <row r="90" spans="1:16" hidden="1">
      <c r="B90" s="169"/>
      <c r="C90" s="1" t="s">
        <v>122</v>
      </c>
      <c r="D90" s="1"/>
      <c r="E90" s="1"/>
      <c r="F90" s="1"/>
      <c r="G90" s="1"/>
      <c r="K90" s="166"/>
      <c r="L90" s="229"/>
    </row>
    <row r="91" spans="1:16" ht="15" hidden="1" customHeight="1">
      <c r="B91" s="53"/>
      <c r="C91" s="1"/>
      <c r="D91" s="1"/>
      <c r="E91" s="1"/>
      <c r="F91" s="1"/>
      <c r="G91" s="1"/>
      <c r="K91" s="166"/>
      <c r="L91" s="229"/>
    </row>
    <row r="92" spans="1:16" ht="15" hidden="1" customHeight="1">
      <c r="A92" s="3" t="s">
        <v>113</v>
      </c>
      <c r="B92" s="168" t="s">
        <v>187</v>
      </c>
      <c r="C92" s="1"/>
      <c r="D92" s="1"/>
      <c r="E92" s="1"/>
      <c r="F92" s="1"/>
      <c r="G92" s="1"/>
      <c r="K92" s="70" t="str">
        <f>VLOOKUP(L92,O92:P97,2)</f>
        <v>Enter 1-4</v>
      </c>
      <c r="L92" s="228"/>
      <c r="O92">
        <v>0</v>
      </c>
      <c r="P92" t="s">
        <v>58</v>
      </c>
    </row>
    <row r="93" spans="1:16" ht="15" hidden="1" customHeight="1">
      <c r="B93" s="53" t="s">
        <v>188</v>
      </c>
      <c r="C93" s="1"/>
      <c r="D93" s="1"/>
      <c r="E93" s="1"/>
      <c r="F93" s="1"/>
      <c r="G93" s="1"/>
      <c r="K93" s="166"/>
      <c r="L93" s="229"/>
      <c r="O93">
        <v>1</v>
      </c>
      <c r="P93" t="s">
        <v>192</v>
      </c>
    </row>
    <row r="94" spans="1:16" ht="15" hidden="1" customHeight="1">
      <c r="B94" s="53" t="s">
        <v>189</v>
      </c>
      <c r="C94" s="1"/>
      <c r="D94" s="1"/>
      <c r="E94" s="1"/>
      <c r="F94" s="1"/>
      <c r="G94" s="1"/>
      <c r="K94" s="166"/>
      <c r="L94" s="229"/>
      <c r="O94">
        <v>2</v>
      </c>
      <c r="P94" t="s">
        <v>193</v>
      </c>
    </row>
    <row r="95" spans="1:16" ht="15" hidden="1" customHeight="1">
      <c r="B95" s="53" t="s">
        <v>190</v>
      </c>
      <c r="C95" s="1"/>
      <c r="D95" s="1"/>
      <c r="E95" s="1"/>
      <c r="F95" s="1"/>
      <c r="G95" s="1"/>
      <c r="K95" s="166"/>
      <c r="L95" s="229"/>
      <c r="O95">
        <v>3</v>
      </c>
      <c r="P95" t="s">
        <v>194</v>
      </c>
    </row>
    <row r="96" spans="1:16" ht="15" hidden="1" customHeight="1">
      <c r="B96" s="53" t="s">
        <v>191</v>
      </c>
      <c r="C96" s="1"/>
      <c r="D96" s="1"/>
      <c r="E96" s="1"/>
      <c r="F96" s="1"/>
      <c r="G96" s="1"/>
      <c r="K96" s="166"/>
      <c r="L96" s="229"/>
      <c r="O96">
        <v>4</v>
      </c>
      <c r="P96" t="s">
        <v>184</v>
      </c>
    </row>
    <row r="97" spans="1:16" ht="15" customHeight="1">
      <c r="A97" s="3" t="s">
        <v>53</v>
      </c>
      <c r="B97" s="53" t="s">
        <v>196</v>
      </c>
      <c r="G97" s="82"/>
      <c r="H97" s="82"/>
      <c r="I97" s="82"/>
      <c r="J97" s="82"/>
      <c r="K97" s="188" t="s">
        <v>802</v>
      </c>
      <c r="L97" s="226"/>
      <c r="O97">
        <v>5</v>
      </c>
      <c r="P97" t="s">
        <v>41</v>
      </c>
    </row>
    <row r="98" spans="1:16" ht="12.75" customHeight="1">
      <c r="A98" s="3" t="s">
        <v>54</v>
      </c>
      <c r="B98" s="53" t="s">
        <v>127</v>
      </c>
      <c r="G98" s="82"/>
      <c r="H98" s="82"/>
      <c r="I98" s="82"/>
      <c r="J98" s="82"/>
      <c r="K98" s="216"/>
      <c r="L98" s="228"/>
      <c r="M98" t="s">
        <v>130</v>
      </c>
    </row>
    <row r="99" spans="1:16" ht="12.75" hidden="1" customHeight="1">
      <c r="A99" s="3" t="s">
        <v>116</v>
      </c>
      <c r="B99" s="130" t="s">
        <v>128</v>
      </c>
      <c r="J99" s="215"/>
      <c r="K99" s="27" t="s">
        <v>57</v>
      </c>
    </row>
    <row r="100" spans="1:16" ht="12.75" hidden="1" customHeight="1">
      <c r="A100" s="3" t="s">
        <v>186</v>
      </c>
      <c r="B100" s="130" t="s">
        <v>129</v>
      </c>
      <c r="J100" s="87"/>
      <c r="K100" s="27" t="s">
        <v>57</v>
      </c>
    </row>
    <row r="101" spans="1:16" ht="6" customHeight="1">
      <c r="A101" s="3"/>
      <c r="B101" s="1"/>
      <c r="J101" s="30"/>
      <c r="K101" s="27"/>
    </row>
    <row r="102" spans="1:16" ht="15">
      <c r="A102" s="3"/>
      <c r="B102" s="291" t="s">
        <v>833</v>
      </c>
      <c r="C102" s="52"/>
      <c r="D102" s="254"/>
      <c r="E102" s="254"/>
      <c r="F102" s="254"/>
      <c r="G102" s="254"/>
      <c r="H102" s="380" t="s">
        <v>206</v>
      </c>
      <c r="I102" s="380"/>
      <c r="J102" s="380"/>
      <c r="K102" s="380"/>
      <c r="L102" s="380"/>
    </row>
    <row r="103" spans="1:16" ht="6" customHeight="1" thickBot="1">
      <c r="A103" s="3"/>
      <c r="B103" s="69"/>
      <c r="C103" s="70"/>
      <c r="H103" s="71"/>
    </row>
    <row r="104" spans="1:16" ht="18" customHeight="1" thickBot="1">
      <c r="A104" s="359"/>
      <c r="B104" s="360" t="s">
        <v>143</v>
      </c>
      <c r="C104" s="361"/>
      <c r="D104" s="361"/>
      <c r="E104" s="362"/>
      <c r="F104" s="355"/>
      <c r="G104" s="355"/>
      <c r="H104" s="362"/>
      <c r="I104" s="362"/>
      <c r="J104" s="362"/>
      <c r="K104" s="362"/>
      <c r="L104" s="362"/>
      <c r="M104" s="363"/>
    </row>
    <row r="105" spans="1:16">
      <c r="A105" s="3"/>
      <c r="L105" s="230"/>
    </row>
    <row r="106" spans="1:16" hidden="1">
      <c r="A106" s="3"/>
    </row>
  </sheetData>
  <sheetProtection algorithmName="SHA-512" hashValue="K3haG98SahOEAh8Dguk5Q1snDk104qloCVNny2rK/DNv0JZ9khPtfGIHjpxO8AjxjSzRbC2zGPzCl7V55zKzhA==" saltValue="RdyOrMGZVLF617P7L9icQg==" spinCount="100000" sheet="1" objects="1" scenarios="1" selectLockedCells="1"/>
  <mergeCells count="1">
    <mergeCell ref="H102:L102"/>
  </mergeCells>
  <phoneticPr fontId="0" type="noConversion"/>
  <conditionalFormatting sqref="I2 M4:M17 I34 M34:M35 M40:M42 I44:I48 H50:H51 I52:I60">
    <cfRule type="cellIs" priority="1" stopIfTrue="1" operator="between">
      <formula>0</formula>
      <formula>1</formula>
    </cfRule>
  </conditionalFormatting>
  <dataValidations count="5">
    <dataValidation type="list" allowBlank="1" showInputMessage="1" showErrorMessage="1" sqref="L97 L81 L55:L59 F6:G8 F10:G11 F13:G16 L28 L44:L48 L71" xr:uid="{00000000-0002-0000-0300-000000000000}">
      <formula1>$O$2:$O$6</formula1>
    </dataValidation>
    <dataValidation type="list" allowBlank="1" showInputMessage="1" showErrorMessage="1" sqref="J99:J100 B85:B90 F85:G89 K85:K89 B60:B61 J72 B67:B70 F12:G12 F22:G30 J45:J47" xr:uid="{00000000-0002-0000-0300-000001000000}">
      <formula1>YesNoList</formula1>
    </dataValidation>
    <dataValidation type="whole" allowBlank="1" showInputMessage="1" showErrorMessage="1" sqref="L80 J31 J33 B37 J41:J42" xr:uid="{00000000-0002-0000-0300-000002000000}">
      <formula1>0</formula1>
      <formula2>2</formula2>
    </dataValidation>
    <dataValidation type="list" allowBlank="1" showInputMessage="1" showErrorMessage="1" sqref="L30 L49" xr:uid="{00000000-0002-0000-0300-000003000000}">
      <formula1>$O$3:$O$7</formula1>
    </dataValidation>
    <dataValidation type="whole" allowBlank="1" showInputMessage="1" showErrorMessage="1" sqref="J34" xr:uid="{00000000-0002-0000-0300-000004000000}">
      <formula1>1</formula1>
      <formula2>8</formula2>
    </dataValidation>
  </dataValidations>
  <hyperlinks>
    <hyperlink ref="B102" r:id="rId1" display="Email your completed questionnaire to: surveys@mackayresearchgroup.com" xr:uid="{00000000-0004-0000-0300-000000000000}"/>
    <hyperlink ref="H102" r:id="rId2" xr:uid="{00000000-0004-0000-0300-000001000000}"/>
    <hyperlink ref="H102:L102" r:id="rId3" display="surveys@mackayresearchgroup.com" xr:uid="{1803CB58-0B65-408E-8DB3-DEE7E0B24F0E}"/>
  </hyperlinks>
  <pageMargins left="0.25" right="0.25" top="0.25" bottom="0.25" header="0.25" footer="0.25"/>
  <pageSetup orientation="portrait" r:id="rId4"/>
  <headerFooter alignWithMargins="0"/>
  <rowBreaks count="1" manualBreakCount="1">
    <brk id="78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89"/>
  <sheetViews>
    <sheetView showGridLines="0" showRowColHeaders="0" zoomScaleNormal="100" zoomScaleSheetLayoutView="100" workbookViewId="0">
      <selection activeCell="A2" sqref="A2"/>
    </sheetView>
  </sheetViews>
  <sheetFormatPr defaultRowHeight="12.75" zeroHeight="1"/>
  <cols>
    <col min="1" max="1" width="3.7109375" customWidth="1"/>
    <col min="2" max="8" width="7.7109375" customWidth="1"/>
    <col min="9" max="9" width="12.140625" customWidth="1"/>
    <col min="10" max="15" width="7.7109375" customWidth="1"/>
  </cols>
  <sheetData>
    <row r="1" spans="1:13" ht="18.75" thickBot="1">
      <c r="A1" s="72"/>
      <c r="B1" s="100" t="s">
        <v>200</v>
      </c>
      <c r="C1" s="101"/>
      <c r="D1" s="101"/>
      <c r="E1" s="101"/>
      <c r="F1" s="101"/>
      <c r="G1" s="102"/>
      <c r="H1" s="72"/>
      <c r="I1" s="72"/>
      <c r="J1" s="72"/>
      <c r="K1" s="72"/>
      <c r="L1" s="72"/>
      <c r="M1" s="72"/>
    </row>
    <row r="2" spans="1:13">
      <c r="B2" s="5" t="s">
        <v>214</v>
      </c>
      <c r="H2" s="46"/>
      <c r="I2" s="54" t="str">
        <f>Overview!I1</f>
        <v>Survey Deadline</v>
      </c>
      <c r="J2" s="55"/>
    </row>
    <row r="3" spans="1:13" ht="13.5" thickBot="1">
      <c r="H3" s="382">
        <f>Overview!H2</f>
        <v>46325</v>
      </c>
      <c r="I3" s="371"/>
      <c r="J3" s="372"/>
    </row>
    <row r="4" spans="1:13">
      <c r="F4" s="5" t="str">
        <f>Overview!F4</f>
        <v>NTMA Wage &amp; Fringe Benefit Survey</v>
      </c>
    </row>
    <row r="5" spans="1:13">
      <c r="F5" s="5" t="str">
        <f>Overview!F5</f>
        <v>Based on 2026 wage &amp; benefit data</v>
      </c>
    </row>
    <row r="6" spans="1:13" ht="6" customHeight="1" thickBot="1"/>
    <row r="7" spans="1:13">
      <c r="B7" s="46"/>
      <c r="C7" s="103"/>
      <c r="D7" s="103"/>
      <c r="E7" s="103"/>
      <c r="F7" s="54" t="str">
        <f>Overview!F7</f>
        <v>Your data will be treated confidentially by Mackay Research Group.</v>
      </c>
      <c r="G7" s="103"/>
      <c r="H7" s="103"/>
      <c r="I7" s="103"/>
      <c r="J7" s="103"/>
      <c r="K7" s="55"/>
    </row>
    <row r="8" spans="1:13">
      <c r="B8" s="104"/>
      <c r="F8" s="12" t="str">
        <f>Overview!F8</f>
        <v>No one from NTMA or its staff will have access to individual company data.</v>
      </c>
      <c r="K8" s="105"/>
    </row>
    <row r="9" spans="1:13" ht="13.5" thickBot="1">
      <c r="B9" s="171" t="str">
        <f>Overview!F9</f>
        <v>Participant data will be aggregated in a way that prevents identification of any individual company.</v>
      </c>
      <c r="C9" s="65"/>
      <c r="D9" s="65"/>
      <c r="E9" s="65"/>
      <c r="F9" s="65"/>
      <c r="G9" s="65"/>
      <c r="H9" s="65"/>
      <c r="I9" s="65"/>
      <c r="J9" s="65"/>
      <c r="K9" s="106"/>
    </row>
    <row r="10" spans="1:13" ht="6" customHeight="1"/>
    <row r="11" spans="1:13" ht="11.1" customHeight="1">
      <c r="B11" s="107" t="str">
        <f>Overview!B10</f>
        <v>This survey covers plant wages in the precision custom manufacturing industry.</v>
      </c>
    </row>
    <row r="12" spans="1:13" ht="6" customHeight="1"/>
    <row r="13" spans="1:13" ht="11.1" customHeight="1">
      <c r="B13" t="str">
        <f>Overview!B18</f>
        <v>Please note: If this important survey has not reached the person responsible for this information,</v>
      </c>
    </row>
    <row r="14" spans="1:13" ht="11.1" customHeight="1">
      <c r="B14" t="str">
        <f>Overview!B19</f>
        <v>please forward this to their attention.</v>
      </c>
    </row>
    <row r="15" spans="1:13" ht="6" customHeight="1"/>
    <row r="16" spans="1:13" ht="12.75" customHeight="1">
      <c r="B16" s="108" t="str">
        <f>Overview!B21</f>
        <v>Email your completed Excel questionnaire to:</v>
      </c>
      <c r="G16" s="109" t="str">
        <f>Overview!G21</f>
        <v>surveys@mackayresearchgroup.com</v>
      </c>
    </row>
    <row r="17" spans="2:8" ht="6" customHeight="1"/>
    <row r="18" spans="2:8" ht="11.1" customHeight="1">
      <c r="B18" t="str">
        <f>Overview!B23</f>
        <v>Questions: email taylor@mackayresearchgroup.com</v>
      </c>
    </row>
    <row r="19" spans="2:8" ht="11.1" customHeight="1">
      <c r="C19" t="str">
        <f>Overview!C24</f>
        <v>or contact Taylor Mackay at the Mackay Research Group, (720) 890-4255</v>
      </c>
    </row>
    <row r="20" spans="2:8" ht="6" customHeight="1"/>
    <row r="21" spans="2:8" ht="12.75" customHeight="1">
      <c r="B21" t="str">
        <f>Overview!B26</f>
        <v>Please specify who is to receive your copy of the Wage &amp; Fringe Benefit Report:</v>
      </c>
    </row>
    <row r="22" spans="2:8" ht="15" customHeight="1">
      <c r="B22" t="str">
        <f>Overview!B28</f>
        <v>Name/Title</v>
      </c>
      <c r="D22" s="376" t="str">
        <f>IF(ISBLANK(Overview!D28),"_______________________________________________________",(Overview!D28))</f>
        <v>_______________________________________________________</v>
      </c>
      <c r="E22" s="376"/>
      <c r="F22" s="376"/>
      <c r="G22" s="376"/>
      <c r="H22" s="376"/>
    </row>
    <row r="23" spans="2:8" ht="15" customHeight="1">
      <c r="B23" t="str">
        <f>Overview!B29</f>
        <v>Company</v>
      </c>
      <c r="D23" s="376" t="str">
        <f>IF(ISBLANK(Overview!D29),"_______________________________________________________",(Overview!D29))</f>
        <v>_______________________________________________________</v>
      </c>
      <c r="E23" s="376"/>
      <c r="F23" s="376"/>
      <c r="G23" s="376"/>
      <c r="H23" s="376"/>
    </row>
    <row r="24" spans="2:8" ht="15" customHeight="1">
      <c r="B24" t="str">
        <f>Overview!B30</f>
        <v>Street Address</v>
      </c>
      <c r="D24" s="376" t="str">
        <f>IF(ISBLANK(Overview!D30),"_______________________________________________________",(Overview!D30))</f>
        <v>_______________________________________________________</v>
      </c>
      <c r="E24" s="376"/>
      <c r="F24" s="376"/>
      <c r="G24" s="376"/>
      <c r="H24" s="376"/>
    </row>
    <row r="25" spans="2:8" ht="15" customHeight="1">
      <c r="D25" s="376" t="str">
        <f>IF(ISBLANK(Overview!D31),"_______________________________________________________",(Overview!D31))</f>
        <v>_______________________________________________________</v>
      </c>
      <c r="E25" s="376"/>
      <c r="F25" s="376"/>
      <c r="G25" s="376"/>
      <c r="H25" s="376"/>
    </row>
    <row r="26" spans="2:8" ht="15" customHeight="1">
      <c r="B26" t="str">
        <f>Overview!B32</f>
        <v>City</v>
      </c>
      <c r="D26" s="376" t="str">
        <f>IF(ISBLANK(Overview!D32),"_______________________________________________________",(Overview!D32))</f>
        <v>_______________________________________________________</v>
      </c>
      <c r="E26" s="376"/>
      <c r="F26" s="376"/>
      <c r="G26" s="376"/>
      <c r="H26" s="376"/>
    </row>
    <row r="27" spans="2:8" ht="15" customHeight="1">
      <c r="B27" t="str">
        <f>Overview!B33</f>
        <v>State</v>
      </c>
      <c r="D27" s="376" t="str">
        <f>IF(ISBLANK(Overview!D33),"_______________________________________________________",(Overview!D33))</f>
        <v>_______________________________________________________</v>
      </c>
      <c r="E27" s="376"/>
      <c r="F27" s="376"/>
      <c r="G27" s="376"/>
      <c r="H27" s="376"/>
    </row>
    <row r="28" spans="2:8" ht="15" customHeight="1">
      <c r="B28" t="str">
        <f>Overview!B34</f>
        <v>ZIP code</v>
      </c>
      <c r="D28" s="384" t="str">
        <f>IF(ISBLANK(Overview!D34),"_______________________________________________________",(Overview!D34))</f>
        <v>_______________________________________________________</v>
      </c>
      <c r="E28" s="384"/>
      <c r="F28" s="384"/>
      <c r="G28" s="384"/>
      <c r="H28" s="384"/>
    </row>
    <row r="29" spans="2:8" ht="15" customHeight="1">
      <c r="B29" t="str">
        <f>Overview!B35</f>
        <v>Telephone</v>
      </c>
      <c r="D29" s="381" t="str">
        <f>IF(ISBLANK(Overview!D35),"_______________________________________________________",(Overview!D35))</f>
        <v>_______________________________________________________</v>
      </c>
      <c r="E29" s="381"/>
      <c r="F29" s="381"/>
      <c r="G29" s="381"/>
      <c r="H29" s="381"/>
    </row>
    <row r="30" spans="2:8" ht="15" customHeight="1">
      <c r="B30" t="str">
        <f>Overview!B36</f>
        <v>Email Address</v>
      </c>
      <c r="D30" s="376" t="str">
        <f>IF(ISBLANK(Overview!D36),"_______________________________________________________",(Overview!D36))</f>
        <v>_______________________________________________________</v>
      </c>
      <c r="E30" s="376"/>
      <c r="F30" s="376"/>
      <c r="G30" s="376"/>
      <c r="H30" s="376"/>
    </row>
    <row r="31" spans="2:8"/>
    <row r="32" spans="2:8">
      <c r="B32" s="2" t="str">
        <f>'Genl Info'!B1</f>
        <v>General Information</v>
      </c>
    </row>
    <row r="33" spans="1:11" ht="6" customHeight="1"/>
    <row r="34" spans="1:11">
      <c r="A34" s="32" t="str">
        <f>'Genl Info'!A3</f>
        <v>1.</v>
      </c>
      <c r="B34" s="2" t="str">
        <f>'Genl Info'!B3</f>
        <v>Primary industry category served</v>
      </c>
      <c r="D34" s="74"/>
      <c r="I34">
        <f>'Genl Info'!K4</f>
        <v>0</v>
      </c>
    </row>
    <row r="35" spans="1:11" ht="6" customHeight="1"/>
    <row r="36" spans="1:11">
      <c r="A36" s="32" t="str">
        <f>'Genl Info'!A13</f>
        <v>2.</v>
      </c>
      <c r="B36" s="2" t="str">
        <f>'Genl Info'!B13</f>
        <v xml:space="preserve">Annual sales volume </v>
      </c>
      <c r="H36" s="15" t="str">
        <f>'Genl Info'!H13</f>
        <v>$</v>
      </c>
      <c r="I36" s="10" t="str">
        <f>IF(ISBLANK(NS),"______________",(NS))</f>
        <v>______________</v>
      </c>
    </row>
    <row r="37" spans="1:11" ht="6" customHeight="1"/>
    <row r="38" spans="1:11">
      <c r="A38" s="32" t="str">
        <f>'Genl Info'!A15</f>
        <v>3.</v>
      </c>
      <c r="B38" s="2" t="str">
        <f>'Genl Info'!B15</f>
        <v>Budgeted increase in hourly wages for this year</v>
      </c>
      <c r="I38" s="62" t="str">
        <f>IF(ISBLANK(BUDGET),"_________",(BUDGET))</f>
        <v>_________</v>
      </c>
      <c r="J38" s="2" t="str">
        <f>'Genl Info'!J15</f>
        <v>%</v>
      </c>
    </row>
    <row r="39" spans="1:11" ht="15" customHeight="1">
      <c r="A39" s="32" t="str">
        <f>'Genl Info'!A17</f>
        <v>4.</v>
      </c>
      <c r="B39" s="2" t="str">
        <f>'Genl Info'!B17</f>
        <v>Employee Turnover</v>
      </c>
      <c r="F39" s="5"/>
      <c r="G39" s="5"/>
      <c r="H39" s="5"/>
      <c r="I39" s="5"/>
      <c r="J39" s="5"/>
      <c r="K39" s="5"/>
    </row>
    <row r="40" spans="1:11" ht="10.15" customHeight="1">
      <c r="A40" s="2"/>
      <c r="B40" s="172" t="str">
        <f>'Genl Info'!B18</f>
        <v>Report Full-Time Equivalents (FTE), Part-time employees should be converted to full-time</v>
      </c>
      <c r="F40" s="110"/>
      <c r="G40" s="110"/>
      <c r="H40" s="110"/>
      <c r="I40" s="110"/>
      <c r="J40" s="110"/>
      <c r="K40" s="110"/>
    </row>
    <row r="41" spans="1:11" ht="10.15" customHeight="1">
      <c r="A41" s="2"/>
      <c r="B41" s="172" t="str">
        <f>'Genl Info'!B19</f>
        <v>equivalents based on a 40-hour week.</v>
      </c>
      <c r="F41" s="110"/>
      <c r="G41" s="110"/>
      <c r="H41" s="110"/>
      <c r="I41" s="110"/>
      <c r="J41" s="110"/>
      <c r="K41" s="110"/>
    </row>
    <row r="42" spans="1:11" ht="12.75" customHeight="1">
      <c r="A42" s="2"/>
      <c r="B42" s="1" t="str">
        <f>'Genl Info'!B21</f>
        <v>Total employees at beginning of year (FTE)</v>
      </c>
      <c r="F42" s="110"/>
      <c r="G42" s="110"/>
      <c r="H42" s="110"/>
      <c r="I42" s="62" t="str">
        <f>IF(ENDEMP&gt;0,BEGEMP,"_________")</f>
        <v>_________</v>
      </c>
      <c r="J42" s="110"/>
      <c r="K42" s="110"/>
    </row>
    <row r="43" spans="1:11" ht="12.75" customHeight="1">
      <c r="A43" s="2"/>
      <c r="B43" s="1" t="str">
        <f>'Genl Info'!B22</f>
        <v>+ number of employees hired during the year</v>
      </c>
      <c r="I43" s="62" t="str">
        <f>IF(ENDEMP&gt;0,HIRE,"_________")</f>
        <v>_________</v>
      </c>
    </row>
    <row r="44" spans="1:11" ht="12.75" customHeight="1">
      <c r="A44" s="2"/>
      <c r="B44" s="1" t="str">
        <f>'Genl Info'!B23</f>
        <v>– number of employees who have left during the year</v>
      </c>
      <c r="F44" s="111"/>
      <c r="G44" s="111"/>
      <c r="H44" s="111"/>
      <c r="I44" s="62" t="str">
        <f>IF(ENDEMP&gt;0,LEFT,"_________")</f>
        <v>_________</v>
      </c>
      <c r="J44" s="111"/>
      <c r="K44" s="111"/>
    </row>
    <row r="45" spans="1:11" s="2" customFormat="1" ht="12.75" customHeight="1">
      <c r="B45" s="2" t="str">
        <f>'Genl Info'!B24</f>
        <v>= Total employees at the end of year (FTE)</v>
      </c>
      <c r="F45" s="112"/>
      <c r="G45" s="112"/>
      <c r="H45" s="112"/>
      <c r="I45" s="62" t="str">
        <f>IF(ENDEMP&gt;0,ENDEMP,"_________")</f>
        <v>_________</v>
      </c>
      <c r="J45" s="112"/>
      <c r="K45" s="112"/>
    </row>
    <row r="46" spans="1:11" ht="6" customHeight="1">
      <c r="E46" s="110"/>
      <c r="F46" s="110"/>
      <c r="G46" s="110"/>
      <c r="H46" s="110"/>
      <c r="I46" s="110"/>
      <c r="J46" s="110"/>
      <c r="K46" s="110"/>
    </row>
    <row r="47" spans="1:11">
      <c r="A47" s="3" t="str">
        <f>'Plant Wages'!A1</f>
        <v>5.</v>
      </c>
      <c r="B47" s="2" t="str">
        <f>'Plant Wages'!B1</f>
        <v>Plant Wages</v>
      </c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3"/>
      <c r="B48" s="2" t="str">
        <f>'Plant Wages'!B2</f>
        <v>Lowest——</v>
      </c>
      <c r="C48" s="1" t="str">
        <f>'Plant Wages'!C2</f>
        <v>Lowest actual 1st shift straight time hourly wage being paid.</v>
      </c>
      <c r="D48" s="1"/>
      <c r="E48" s="1"/>
      <c r="F48" s="1"/>
      <c r="G48" s="1"/>
      <c r="H48" s="1"/>
      <c r="I48" s="1"/>
      <c r="J48" s="1"/>
      <c r="K48" s="1"/>
    </row>
    <row r="49" spans="1:15">
      <c r="A49" s="3"/>
      <c r="B49" s="2" t="str">
        <f>'Plant Wages'!B3</f>
        <v>Highest——</v>
      </c>
      <c r="C49" s="1" t="str">
        <f>'Plant Wages'!C3</f>
        <v>Highest actual 1st shift straight time hourly wage being paid.</v>
      </c>
      <c r="D49" s="1"/>
      <c r="E49" s="1"/>
      <c r="F49" s="1"/>
      <c r="G49" s="1"/>
      <c r="H49" s="1"/>
      <c r="I49" s="1"/>
      <c r="J49" s="1"/>
      <c r="K49" s="1"/>
    </row>
    <row r="50" spans="1:15">
      <c r="A50" s="3"/>
      <c r="B50" s="2" t="str">
        <f>'Plant Wages'!B4</f>
        <v>Average—</v>
      </c>
      <c r="C50" s="1" t="str">
        <f>'Plant Wages'!C4</f>
        <v>The total actual 1st shift straight time hourly wage of all employees in a classification</v>
      </c>
      <c r="D50" s="1"/>
      <c r="E50" s="1"/>
      <c r="F50" s="1"/>
      <c r="G50" s="1"/>
      <c r="H50" s="1"/>
      <c r="I50" s="1"/>
      <c r="J50" s="1"/>
      <c r="K50" s="1"/>
    </row>
    <row r="51" spans="1:15" ht="12.75" customHeight="1">
      <c r="A51" s="3"/>
      <c r="B51" s="1"/>
      <c r="C51" s="1" t="str">
        <f>'Plant Wages'!C5</f>
        <v>divided by the total number of employees in this classification.</v>
      </c>
      <c r="D51" s="1"/>
      <c r="E51" s="1"/>
      <c r="F51" s="1"/>
      <c r="G51" s="1"/>
      <c r="H51" s="1"/>
      <c r="I51" s="1"/>
      <c r="J51" s="1"/>
      <c r="K51" s="1"/>
    </row>
    <row r="52" spans="1:15">
      <c r="A52" s="3"/>
      <c r="B52" s="1" t="str">
        <f>'Plant Wages'!B6</f>
        <v>Important:  If only one person is performing the job classification,</v>
      </c>
      <c r="C52" s="1"/>
      <c r="D52" s="1"/>
      <c r="E52" s="1"/>
      <c r="F52" s="1"/>
      <c r="G52" s="1"/>
      <c r="H52" s="1"/>
      <c r="I52" s="1"/>
      <c r="J52" s="1"/>
      <c r="K52" s="1"/>
    </row>
    <row r="53" spans="1:15" ht="12" customHeight="1">
      <c r="A53" s="1"/>
      <c r="B53" s="1"/>
      <c r="C53" s="1" t="str">
        <f>'Plant Wages'!C7</f>
        <v>please use their hourly rate as the lowest, highest and average wage rate.</v>
      </c>
      <c r="D53" s="1"/>
      <c r="E53" s="14"/>
      <c r="F53" s="1"/>
      <c r="G53" s="14"/>
      <c r="H53" s="1"/>
      <c r="I53" s="14"/>
      <c r="J53" s="1"/>
      <c r="K53" s="14"/>
    </row>
    <row r="54" spans="1:15" ht="15" customHeight="1">
      <c r="B54" s="1"/>
      <c r="C54" s="1"/>
      <c r="D54" s="1"/>
      <c r="E54" s="1"/>
      <c r="F54" s="32" t="str">
        <f>'Plant Wages'!F17</f>
        <v>Number of</v>
      </c>
      <c r="G54" s="104"/>
      <c r="H54" s="5" t="str">
        <f>'Plant Wages'!H17</f>
        <v>Wage Rate - $/hour</v>
      </c>
      <c r="I54" s="176"/>
      <c r="J54" s="104"/>
      <c r="K54" s="5"/>
      <c r="L54" s="5"/>
      <c r="N54" s="5"/>
      <c r="O54" s="5"/>
    </row>
    <row r="55" spans="1:15" ht="11.1" customHeight="1">
      <c r="B55" s="99" t="str">
        <f>'Plant Wages'!B18</f>
        <v>Apprentice</v>
      </c>
      <c r="C55" s="1"/>
      <c r="D55" s="1"/>
      <c r="E55" s="1"/>
      <c r="F55" s="173" t="str">
        <f>'Plant Wages'!F18</f>
        <v>Employees</v>
      </c>
      <c r="G55" s="177" t="str">
        <f>'Plant Wages'!G18</f>
        <v>Low</v>
      </c>
      <c r="H55" s="178" t="str">
        <f>'Plant Wages'!H18</f>
        <v>High</v>
      </c>
      <c r="I55" s="179" t="str">
        <f>'Plant Wages'!I18</f>
        <v>Average</v>
      </c>
      <c r="J55" s="177"/>
      <c r="K55" s="178"/>
      <c r="L55" s="217"/>
      <c r="M55" s="178"/>
      <c r="N55" s="178"/>
      <c r="O55" s="217"/>
    </row>
    <row r="56" spans="1:15" ht="14.65" customHeight="1">
      <c r="A56" s="60" t="str">
        <f>'Plant Wages'!A19</f>
        <v>a.</v>
      </c>
      <c r="B56" s="1" t="str">
        <f>'Plant Wages'!B19</f>
        <v>Apprentice (First Year)</v>
      </c>
      <c r="F56" s="58" t="str">
        <f>IF(ISBLANK(NFIRST),"______",(NFIRST))</f>
        <v>______</v>
      </c>
      <c r="G56" s="180" t="str">
        <f>IF(ISBLANK(LFIRST),"______",(LFIRST))</f>
        <v>______</v>
      </c>
      <c r="H56" s="174" t="str">
        <f>IF(ISBLANK(HFIRST),"______",(HFIRST))</f>
        <v>______</v>
      </c>
      <c r="I56" s="181" t="str">
        <f>IF(ISBLANK(AFIRST),"______",(AFIRST))</f>
        <v>______</v>
      </c>
      <c r="J56" s="180"/>
      <c r="K56" s="174"/>
      <c r="L56" s="174"/>
      <c r="M56" s="174"/>
      <c r="N56" s="174"/>
      <c r="O56" s="174"/>
    </row>
    <row r="57" spans="1:15" ht="14.65" customHeight="1">
      <c r="A57" s="60" t="str">
        <f>'Plant Wages'!A20</f>
        <v>b.</v>
      </c>
      <c r="B57" s="1" t="str">
        <f>'Plant Wages'!B20</f>
        <v>Apprentice (Second Year)</v>
      </c>
      <c r="F57" s="58" t="str">
        <f>IF(ISBLANK(NSECOND),"______",(NSECOND))</f>
        <v>______</v>
      </c>
      <c r="G57" s="180" t="str">
        <f>IF(ISBLANK(LSECOND),"______",(LSECOND))</f>
        <v>______</v>
      </c>
      <c r="H57" s="174" t="str">
        <f>IF(ISBLANK(HSECOND),"______",(HSECOND))</f>
        <v>______</v>
      </c>
      <c r="I57" s="181" t="str">
        <f>IF(ISBLANK(ASECOND),"______",(ASECOND))</f>
        <v>______</v>
      </c>
      <c r="J57" s="180"/>
      <c r="K57" s="174"/>
      <c r="L57" s="174"/>
      <c r="M57" s="174"/>
      <c r="N57" s="174"/>
      <c r="O57" s="174"/>
    </row>
    <row r="58" spans="1:15" ht="14.65" customHeight="1">
      <c r="A58" s="60" t="str">
        <f>'Plant Wages'!A21</f>
        <v>c.</v>
      </c>
      <c r="B58" s="1" t="str">
        <f>'Plant Wages'!B21</f>
        <v>Apprentice (Third Year)</v>
      </c>
      <c r="F58" s="58" t="str">
        <f>IF(ISBLANK(NTHIRD),"______",(NTHIRD))</f>
        <v>______</v>
      </c>
      <c r="G58" s="180" t="str">
        <f>IF(ISBLANK(LTHIRD),"______",(LTHIRD))</f>
        <v>______</v>
      </c>
      <c r="H58" s="174" t="str">
        <f>IF(ISBLANK(HTHIRD),"______",(HTHIRD))</f>
        <v>______</v>
      </c>
      <c r="I58" s="181" t="str">
        <f>IF(ISBLANK(ATHIRD),"______",(ATHIRD))</f>
        <v>______</v>
      </c>
      <c r="J58" s="180"/>
      <c r="K58" s="174"/>
      <c r="L58" s="174"/>
      <c r="M58" s="174"/>
      <c r="N58" s="174"/>
      <c r="O58" s="174"/>
    </row>
    <row r="59" spans="1:15" ht="14.65" customHeight="1">
      <c r="A59" s="60" t="str">
        <f>'Plant Wages'!A22</f>
        <v>d.</v>
      </c>
      <c r="B59" s="1" t="str">
        <f>'Plant Wages'!B22</f>
        <v>Apprentice (Fourth Year)</v>
      </c>
      <c r="F59" s="58" t="str">
        <f>IF(ISBLANK(NFOURTH),"______",(NFOURTH))</f>
        <v>______</v>
      </c>
      <c r="G59" s="180" t="str">
        <f>IF(ISBLANK(LFOURTH),"______",(LFOURTH))</f>
        <v>______</v>
      </c>
      <c r="H59" s="174" t="str">
        <f>IF(ISBLANK(HFOURTH),"______",(HFOURTH))</f>
        <v>______</v>
      </c>
      <c r="I59" s="181" t="str">
        <f>IF(ISBLANK(AFOURTH),"______",(AFOURTH))</f>
        <v>______</v>
      </c>
      <c r="J59" s="180"/>
      <c r="K59" s="174"/>
      <c r="L59" s="174"/>
      <c r="M59" s="174"/>
      <c r="N59" s="174"/>
      <c r="O59" s="174"/>
    </row>
    <row r="60" spans="1:15" ht="12.75" customHeight="1">
      <c r="A60" s="60"/>
      <c r="B60" s="1"/>
      <c r="F60" s="32" t="str">
        <f>'Plant Wages'!F23</f>
        <v>Number of</v>
      </c>
      <c r="G60" s="104"/>
      <c r="H60" s="5" t="str">
        <f>'Plant Wages'!H23</f>
        <v>Wage Rate - $/hour</v>
      </c>
      <c r="I60" s="176"/>
      <c r="J60" s="104"/>
      <c r="K60" s="5"/>
      <c r="L60" s="5"/>
      <c r="N60" s="5"/>
      <c r="O60" s="5"/>
    </row>
    <row r="61" spans="1:15" ht="15" customHeight="1">
      <c r="A61" s="60"/>
      <c r="B61" s="99" t="str">
        <f>'Plant Wages'!B24</f>
        <v>Machining Operations</v>
      </c>
      <c r="F61" s="173" t="str">
        <f>'Plant Wages'!F24</f>
        <v>Employees</v>
      </c>
      <c r="G61" s="177" t="str">
        <f>'Plant Wages'!G24</f>
        <v>Low</v>
      </c>
      <c r="H61" s="178" t="str">
        <f>'Plant Wages'!H24</f>
        <v>High</v>
      </c>
      <c r="I61" s="179" t="str">
        <f>'Plant Wages'!I24</f>
        <v>Average</v>
      </c>
      <c r="J61" s="177"/>
      <c r="K61" s="178"/>
      <c r="L61" s="217"/>
      <c r="M61" s="178"/>
      <c r="N61" s="178"/>
      <c r="O61" s="217"/>
    </row>
    <row r="62" spans="1:15" ht="14.65" customHeight="1">
      <c r="A62" s="60" t="str">
        <f>'Plant Wages'!A25</f>
        <v>e.</v>
      </c>
      <c r="B62" s="1" t="str">
        <f>'Plant Wages'!B25</f>
        <v>Machinist, All Around (Journeyman)</v>
      </c>
      <c r="F62" s="58" t="str">
        <f>IF(ISBLANK('Plant Wages'!F25),"_____________",('Plant Wages'!F25))</f>
        <v>_____________</v>
      </c>
      <c r="G62" s="180" t="str">
        <f>IF(ISBLANK('Plant Wages'!G25),"_______",('Plant Wages'!G25))</f>
        <v>_______</v>
      </c>
      <c r="H62" s="174" t="str">
        <f>IF(ISBLANK('Plant Wages'!H25),"_______",('Plant Wages'!H25))</f>
        <v>_______</v>
      </c>
      <c r="I62" s="181" t="str">
        <f>IF(ISBLANK('Plant Wages'!I25),"_______",('Plant Wages'!I25))</f>
        <v>_______</v>
      </c>
      <c r="J62" s="180"/>
      <c r="K62" s="174"/>
      <c r="L62" s="174"/>
      <c r="M62" s="174"/>
      <c r="N62" s="174"/>
      <c r="O62" s="174"/>
    </row>
    <row r="63" spans="1:15" ht="14.65" customHeight="1">
      <c r="A63" s="60" t="str">
        <f>'Plant Wages'!A26</f>
        <v>f.</v>
      </c>
      <c r="B63" s="1" t="str">
        <f>'Plant Wages'!B26</f>
        <v>Machinist, All Around (CNC)</v>
      </c>
      <c r="F63" s="58" t="str">
        <f>IF(ISBLANK('Plant Wages'!F26),"_____________",('Plant Wages'!F26))</f>
        <v>_____________</v>
      </c>
      <c r="G63" s="180" t="str">
        <f>IF(ISBLANK('Plant Wages'!G26),"_______",('Plant Wages'!G26))</f>
        <v>_______</v>
      </c>
      <c r="H63" s="174" t="str">
        <f>IF(ISBLANK('Plant Wages'!H26),"_______",('Plant Wages'!H26))</f>
        <v>_______</v>
      </c>
      <c r="I63" s="181" t="str">
        <f>IF(ISBLANK('Plant Wages'!I26),"_______",('Plant Wages'!I26))</f>
        <v>_______</v>
      </c>
      <c r="J63" s="180"/>
      <c r="K63" s="174"/>
      <c r="L63" s="174"/>
      <c r="M63" s="174"/>
      <c r="N63" s="174"/>
      <c r="O63" s="174"/>
    </row>
    <row r="64" spans="1:15" ht="14.65" customHeight="1">
      <c r="A64" s="60" t="str">
        <f>'Plant Wages'!A27</f>
        <v>g.</v>
      </c>
      <c r="B64" s="1" t="str">
        <f>'Plant Wages'!B28</f>
        <v>Horizontal Machining Center</v>
      </c>
      <c r="F64" s="58" t="str">
        <f>IF(ISBLANK('Plant Wages'!F28),"_____________",('Plant Wages'!F28))</f>
        <v>_____________</v>
      </c>
      <c r="G64" s="180" t="str">
        <f>IF(ISBLANK('Plant Wages'!G28),"_______",('Plant Wages'!G28))</f>
        <v>_______</v>
      </c>
      <c r="H64" s="174" t="str">
        <f>IF(ISBLANK('Plant Wages'!H28),"_______",('Plant Wages'!H28))</f>
        <v>_______</v>
      </c>
      <c r="I64" s="181" t="str">
        <f>IF(ISBLANK('Plant Wages'!I28),"_______",('Plant Wages'!I28))</f>
        <v>_______</v>
      </c>
      <c r="J64" s="180"/>
      <c r="K64" s="174"/>
      <c r="L64" s="174"/>
      <c r="M64" s="174"/>
      <c r="N64" s="174"/>
      <c r="O64" s="174"/>
    </row>
    <row r="65" spans="1:15" ht="14.65" customHeight="1">
      <c r="A65" s="60" t="str">
        <f>'Plant Wages'!A28</f>
        <v>h.</v>
      </c>
      <c r="B65" s="1" t="str">
        <f>'Plant Wages'!B29</f>
        <v>Vertical Machining Center</v>
      </c>
      <c r="F65" s="58" t="str">
        <f>IF(ISBLANK('Plant Wages'!F29),"_____________",('Plant Wages'!F29))</f>
        <v>_____________</v>
      </c>
      <c r="G65" s="180" t="str">
        <f>IF(ISBLANK('Plant Wages'!G29),"_______",('Plant Wages'!G29))</f>
        <v>_______</v>
      </c>
      <c r="H65" s="174" t="str">
        <f>IF(ISBLANK('Plant Wages'!H29),"_______",('Plant Wages'!H29))</f>
        <v>_______</v>
      </c>
      <c r="I65" s="181" t="str">
        <f>IF(ISBLANK('Plant Wages'!I29),"_______",('Plant Wages'!I29))</f>
        <v>_______</v>
      </c>
      <c r="J65" s="180"/>
      <c r="K65" s="174"/>
      <c r="L65" s="174"/>
      <c r="M65" s="174"/>
      <c r="N65" s="174"/>
      <c r="O65" s="174"/>
    </row>
    <row r="66" spans="1:15" ht="14.65" customHeight="1">
      <c r="A66" s="60" t="str">
        <f>'Plant Wages'!A29</f>
        <v>i.</v>
      </c>
      <c r="B66" s="1" t="str">
        <f>'Plant Wages'!B30</f>
        <v>Five Axis Machining Center</v>
      </c>
      <c r="F66" s="58" t="str">
        <f>IF(ISBLANK('Plant Wages'!F30),"_____________",('Plant Wages'!F30))</f>
        <v>_____________</v>
      </c>
      <c r="G66" s="180" t="str">
        <f>IF(ISBLANK('Plant Wages'!G30),"_______",('Plant Wages'!G30))</f>
        <v>_______</v>
      </c>
      <c r="H66" s="174" t="str">
        <f>IF(ISBLANK('Plant Wages'!H30),"_______",('Plant Wages'!H30))</f>
        <v>_______</v>
      </c>
      <c r="I66" s="181" t="str">
        <f>IF(ISBLANK('Plant Wages'!I30),"_______",('Plant Wages'!I30))</f>
        <v>_______</v>
      </c>
      <c r="J66" s="180"/>
      <c r="K66" s="174"/>
      <c r="L66" s="174"/>
      <c r="M66" s="174"/>
      <c r="N66" s="174"/>
      <c r="O66" s="174"/>
    </row>
    <row r="67" spans="1:15" ht="14.65" customHeight="1">
      <c r="A67" s="60" t="str">
        <f>'Plant Wages'!A30</f>
        <v>j.</v>
      </c>
      <c r="B67" s="1" t="str">
        <f>'Plant Wages'!B31</f>
        <v>EDM, Electrode</v>
      </c>
      <c r="F67" s="58" t="str">
        <f>IF(ISBLANK('Plant Wages'!F31),"_____________",('Plant Wages'!F31))</f>
        <v>_____________</v>
      </c>
      <c r="G67" s="180" t="str">
        <f>IF(ISBLANK('Plant Wages'!G31),"_______",('Plant Wages'!G31))</f>
        <v>_______</v>
      </c>
      <c r="H67" s="174" t="str">
        <f>IF(ISBLANK('Plant Wages'!H31),"_______",('Plant Wages'!H31))</f>
        <v>_______</v>
      </c>
      <c r="I67" s="181" t="str">
        <f>IF(ISBLANK('Plant Wages'!I31),"_______",('Plant Wages'!I31))</f>
        <v>_______</v>
      </c>
      <c r="J67" s="180"/>
      <c r="K67" s="174"/>
      <c r="L67" s="174"/>
      <c r="M67" s="174"/>
      <c r="N67" s="174"/>
      <c r="O67" s="174"/>
    </row>
    <row r="68" spans="1:15" ht="14.65" customHeight="1">
      <c r="A68" s="60" t="str">
        <f>'Plant Wages'!A31</f>
        <v>k.</v>
      </c>
      <c r="B68" s="1" t="str">
        <f>'Plant Wages'!B32</f>
        <v>EDM, Wire</v>
      </c>
      <c r="F68" s="58" t="str">
        <f>IF(ISBLANK('Plant Wages'!F32),"_____________",('Plant Wages'!F32))</f>
        <v>_____________</v>
      </c>
      <c r="G68" s="180" t="str">
        <f>IF(ISBLANK('Plant Wages'!G32),"_______",('Plant Wages'!G32))</f>
        <v>_______</v>
      </c>
      <c r="H68" s="174" t="str">
        <f>IF(ISBLANK('Plant Wages'!H32),"_______",('Plant Wages'!H32))</f>
        <v>_______</v>
      </c>
      <c r="I68" s="181" t="str">
        <f>IF(ISBLANK('Plant Wages'!I32),"_______",('Plant Wages'!I32))</f>
        <v>_______</v>
      </c>
      <c r="J68" s="180"/>
      <c r="K68" s="174"/>
      <c r="L68" s="174"/>
      <c r="M68" s="174"/>
      <c r="N68" s="174"/>
      <c r="O68" s="174"/>
    </row>
    <row r="69" spans="1:15" ht="14.65" customHeight="1">
      <c r="A69" s="60" t="str">
        <f>'Plant Wages'!A32</f>
        <v>l.</v>
      </c>
      <c r="B69" s="1" t="str">
        <f>'Plant Wages'!B33</f>
        <v>Grinding, Blanchard</v>
      </c>
      <c r="F69" s="58" t="str">
        <f>IF(ISBLANK('Plant Wages'!F33),"_____________",('Plant Wages'!F33))</f>
        <v>_____________</v>
      </c>
      <c r="G69" s="180" t="str">
        <f>IF(ISBLANK('Plant Wages'!G33),"_______",('Plant Wages'!G33))</f>
        <v>_______</v>
      </c>
      <c r="H69" s="174" t="str">
        <f>IF(ISBLANK('Plant Wages'!H33),"_______",('Plant Wages'!H33))</f>
        <v>_______</v>
      </c>
      <c r="I69" s="181" t="str">
        <f>IF(ISBLANK('Plant Wages'!I33),"_______",('Plant Wages'!I33))</f>
        <v>_______</v>
      </c>
      <c r="J69" s="180"/>
      <c r="K69" s="174"/>
      <c r="L69" s="174"/>
      <c r="M69" s="174"/>
      <c r="N69" s="174"/>
      <c r="O69" s="174"/>
    </row>
    <row r="70" spans="1:15" ht="14.65" customHeight="1">
      <c r="A70" s="60" t="str">
        <f>'Plant Wages'!A33</f>
        <v>m.</v>
      </c>
      <c r="B70" s="1" t="str">
        <f>'Plant Wages'!B34</f>
        <v>Grinding, Cylindrical</v>
      </c>
      <c r="F70" s="58" t="str">
        <f>IF(ISBLANK('Plant Wages'!F34),"_____________",('Plant Wages'!F34))</f>
        <v>_____________</v>
      </c>
      <c r="G70" s="180" t="str">
        <f>IF(ISBLANK('Plant Wages'!G34),"_______",('Plant Wages'!G34))</f>
        <v>_______</v>
      </c>
      <c r="H70" s="174" t="str">
        <f>IF(ISBLANK('Plant Wages'!H34),"_______",('Plant Wages'!H34))</f>
        <v>_______</v>
      </c>
      <c r="I70" s="181" t="str">
        <f>IF(ISBLANK('Plant Wages'!I34),"_______",('Plant Wages'!I34))</f>
        <v>_______</v>
      </c>
      <c r="J70" s="180"/>
      <c r="K70" s="174"/>
      <c r="L70" s="174"/>
      <c r="M70" s="174"/>
      <c r="N70" s="174"/>
      <c r="O70" s="174"/>
    </row>
    <row r="71" spans="1:15" ht="14.65" customHeight="1">
      <c r="A71" s="60" t="str">
        <f>'Plant Wages'!A34</f>
        <v>n.</v>
      </c>
      <c r="B71" s="1" t="str">
        <f>'Plant Wages'!B35</f>
        <v>Grinding, Surface</v>
      </c>
      <c r="F71" s="58" t="str">
        <f>IF(ISBLANK('Plant Wages'!F35),"_____________",('Plant Wages'!F35))</f>
        <v>_____________</v>
      </c>
      <c r="G71" s="180" t="str">
        <f>IF(ISBLANK('Plant Wages'!G35),"_______",('Plant Wages'!G35))</f>
        <v>_______</v>
      </c>
      <c r="H71" s="174" t="str">
        <f>IF(ISBLANK('Plant Wages'!H35),"_______",('Plant Wages'!H35))</f>
        <v>_______</v>
      </c>
      <c r="I71" s="181" t="str">
        <f>IF(ISBLANK('Plant Wages'!I35),"_______",('Plant Wages'!I35))</f>
        <v>_______</v>
      </c>
      <c r="J71" s="180"/>
      <c r="K71" s="174"/>
      <c r="L71" s="174"/>
      <c r="M71" s="174"/>
      <c r="N71" s="174"/>
      <c r="O71" s="174"/>
    </row>
    <row r="72" spans="1:15" ht="14.65" customHeight="1">
      <c r="A72" s="60" t="str">
        <f>'Plant Wages'!A35</f>
        <v>o.</v>
      </c>
      <c r="B72" s="1" t="str">
        <f>'Plant Wages'!B36</f>
        <v>Turning Center</v>
      </c>
      <c r="F72" s="58" t="str">
        <f>IF(ISBLANK('Plant Wages'!F36),"_____________",('Plant Wages'!F36))</f>
        <v>_____________</v>
      </c>
      <c r="G72" s="180" t="str">
        <f>IF(ISBLANK('Plant Wages'!G36),"_______",('Plant Wages'!G36))</f>
        <v>_______</v>
      </c>
      <c r="H72" s="174" t="str">
        <f>IF(ISBLANK('Plant Wages'!H36),"_______",('Plant Wages'!H36))</f>
        <v>_______</v>
      </c>
      <c r="I72" s="181" t="str">
        <f>IF(ISBLANK('Plant Wages'!I36),"_______",('Plant Wages'!I36))</f>
        <v>_______</v>
      </c>
      <c r="J72" s="180"/>
      <c r="K72" s="174"/>
      <c r="L72" s="174"/>
      <c r="M72" s="174"/>
      <c r="N72" s="174"/>
      <c r="O72" s="174"/>
    </row>
    <row r="73" spans="1:15" ht="14.65" customHeight="1">
      <c r="A73" s="60" t="str">
        <f>'Plant Wages'!A36</f>
        <v>p.</v>
      </c>
      <c r="B73" s="1" t="str">
        <f>'Plant Wages'!B37</f>
        <v>Multi Axis Turning Center</v>
      </c>
      <c r="F73" s="58" t="str">
        <f>IF(ISBLANK('Plant Wages'!F37),"_____________",('Plant Wages'!F37))</f>
        <v>_____________</v>
      </c>
      <c r="G73" s="180" t="str">
        <f>IF(ISBLANK('Plant Wages'!G37),"_______",('Plant Wages'!G37))</f>
        <v>_______</v>
      </c>
      <c r="H73" s="174" t="str">
        <f>IF(ISBLANK('Plant Wages'!H37),"_______",('Plant Wages'!H37))</f>
        <v>_______</v>
      </c>
      <c r="I73" s="181" t="str">
        <f>IF(ISBLANK('Plant Wages'!I37),"_______",('Plant Wages'!I37))</f>
        <v>_______</v>
      </c>
      <c r="J73" s="180"/>
      <c r="K73" s="174"/>
      <c r="L73" s="174"/>
      <c r="M73" s="174"/>
      <c r="N73" s="174"/>
      <c r="O73" s="174"/>
    </row>
    <row r="74" spans="1:15" ht="14.65" customHeight="1">
      <c r="A74" s="60" t="str">
        <f>'Plant Wages'!A37</f>
        <v>q.</v>
      </c>
      <c r="B74" s="1" t="str">
        <f>'Plant Wages'!B38</f>
        <v>Swiss Machining Center</v>
      </c>
      <c r="F74" s="58" t="str">
        <f>IF(ISBLANK('Plant Wages'!F38),"_____________",('Plant Wages'!F38))</f>
        <v>_____________</v>
      </c>
      <c r="G74" s="180" t="str">
        <f>IF(ISBLANK('Plant Wages'!G38),"_______",('Plant Wages'!G38))</f>
        <v>_______</v>
      </c>
      <c r="H74" s="174" t="str">
        <f>IF(ISBLANK('Plant Wages'!H38),"_______",('Plant Wages'!H38))</f>
        <v>_______</v>
      </c>
      <c r="I74" s="181" t="str">
        <f>IF(ISBLANK('Plant Wages'!I38),"_______",('Plant Wages'!I38))</f>
        <v>_______</v>
      </c>
      <c r="J74" s="180"/>
      <c r="K74" s="174"/>
      <c r="L74" s="174"/>
      <c r="M74" s="174"/>
      <c r="N74" s="174"/>
      <c r="O74" s="174"/>
    </row>
    <row r="75" spans="1:15" ht="14.65" customHeight="1">
      <c r="A75" s="60" t="str">
        <f>'Plant Wages'!A38</f>
        <v>r.</v>
      </c>
      <c r="B75" s="1" t="str">
        <f>'Plant Wages'!B39</f>
        <v>Rotary Transfer Machine</v>
      </c>
      <c r="F75" s="58" t="str">
        <f>IF(ISBLANK('Plant Wages'!F39),"_____________",('Plant Wages'!F39))</f>
        <v>_____________</v>
      </c>
      <c r="G75" s="180" t="str">
        <f>IF(ISBLANK('Plant Wages'!G39),"_______",('Plant Wages'!G39))</f>
        <v>_______</v>
      </c>
      <c r="H75" s="174" t="str">
        <f>IF(ISBLANK('Plant Wages'!H39),"_______",('Plant Wages'!H39))</f>
        <v>_______</v>
      </c>
      <c r="I75" s="181" t="str">
        <f>IF(ISBLANK('Plant Wages'!I39),"_______",('Plant Wages'!I39))</f>
        <v>_______</v>
      </c>
      <c r="J75" s="180"/>
      <c r="K75" s="174"/>
      <c r="L75" s="174"/>
      <c r="M75" s="174"/>
      <c r="N75" s="174"/>
      <c r="O75" s="174"/>
    </row>
    <row r="76" spans="1:15" ht="14.65" customHeight="1">
      <c r="A76" s="60" t="str">
        <f>'Plant Wages'!A39</f>
        <v>s.</v>
      </c>
      <c r="B76" s="1" t="str">
        <f>'Plant Wages'!B40</f>
        <v>Saw Operator</v>
      </c>
      <c r="F76" s="58" t="str">
        <f>IF(ISBLANK('Plant Wages'!F40),"_____________",('Plant Wages'!F40))</f>
        <v>_____________</v>
      </c>
      <c r="G76" s="180" t="str">
        <f>IF(ISBLANK('Plant Wages'!G40),"_______",('Plant Wages'!G40))</f>
        <v>_______</v>
      </c>
      <c r="H76" s="174" t="str">
        <f>IF(ISBLANK('Plant Wages'!H40),"_______",('Plant Wages'!H40))</f>
        <v>_______</v>
      </c>
      <c r="I76" s="181" t="str">
        <f>IF(ISBLANK('Plant Wages'!I40),"_______",('Plant Wages'!I40))</f>
        <v>_______</v>
      </c>
      <c r="J76" s="180"/>
      <c r="K76" s="174"/>
      <c r="L76" s="174"/>
      <c r="M76" s="174"/>
      <c r="N76" s="174"/>
      <c r="O76" s="174"/>
    </row>
    <row r="77" spans="1:15" ht="12.75" customHeight="1">
      <c r="A77" s="60"/>
      <c r="B77" s="1"/>
      <c r="F77" s="32" t="str">
        <f>'Plant Wages'!F44</f>
        <v>Number of</v>
      </c>
      <c r="G77" s="104"/>
      <c r="H77" s="5" t="str">
        <f>'Plant Wages'!H44</f>
        <v>Wage Rate - $/hour</v>
      </c>
      <c r="I77" s="176"/>
      <c r="J77" s="104"/>
      <c r="K77" s="5"/>
      <c r="L77" s="5"/>
      <c r="N77" s="5"/>
      <c r="O77" s="5"/>
    </row>
    <row r="78" spans="1:15" ht="12.75" customHeight="1">
      <c r="A78" s="60"/>
      <c r="B78" s="99" t="str">
        <f>'Plant Wages'!B45</f>
        <v>Tool and Die / Mold Operations</v>
      </c>
      <c r="F78" s="173" t="str">
        <f>'Plant Wages'!F45</f>
        <v>Employees</v>
      </c>
      <c r="G78" s="177" t="str">
        <f>'Plant Wages'!G45</f>
        <v>Low</v>
      </c>
      <c r="H78" s="178" t="str">
        <f>'Plant Wages'!H45</f>
        <v>High</v>
      </c>
      <c r="I78" s="179" t="str">
        <f>'Plant Wages'!I45</f>
        <v>Average</v>
      </c>
      <c r="J78" s="177"/>
      <c r="K78" s="178"/>
      <c r="L78" s="217"/>
      <c r="M78" s="178"/>
      <c r="N78" s="178"/>
      <c r="O78" s="217"/>
    </row>
    <row r="79" spans="1:15" ht="14.65" customHeight="1">
      <c r="A79" s="60" t="e">
        <f>'Plant Wages'!#REF!</f>
        <v>#REF!</v>
      </c>
      <c r="B79" s="1" t="str">
        <f>'Plant Wages'!B46</f>
        <v>Moldmaker/Die Cast Diemaker</v>
      </c>
      <c r="F79" s="58" t="str">
        <f>IF(ISBLANK('Plant Wages'!F46),"_____________",('Plant Wages'!F46))</f>
        <v>_____________</v>
      </c>
      <c r="G79" s="180" t="str">
        <f>IF(ISBLANK('Plant Wages'!G46),"_______",('Plant Wages'!G46))</f>
        <v>_______</v>
      </c>
      <c r="H79" s="174" t="str">
        <f>IF(ISBLANK('Plant Wages'!H46),"_______",('Plant Wages'!H46))</f>
        <v>_______</v>
      </c>
      <c r="I79" s="181" t="str">
        <f>IF(ISBLANK('Plant Wages'!I46),"_______",('Plant Wages'!I46))</f>
        <v>_______</v>
      </c>
      <c r="J79" s="180"/>
      <c r="K79" s="174"/>
      <c r="L79" s="174"/>
      <c r="M79" s="174"/>
      <c r="N79" s="174"/>
      <c r="O79" s="174"/>
    </row>
    <row r="80" spans="1:15" ht="14.65" customHeight="1">
      <c r="A80" s="60" t="str">
        <f>'Plant Wages'!A41</f>
        <v>u.</v>
      </c>
      <c r="B80" s="1" t="str">
        <f>'Plant Wages'!B47</f>
        <v>Stamping Die Toolmaker</v>
      </c>
      <c r="F80" s="58" t="str">
        <f>IF(ISBLANK('Plant Wages'!F47),"_____________",('Plant Wages'!F47))</f>
        <v>_____________</v>
      </c>
      <c r="G80" s="180" t="str">
        <f>IF(ISBLANK('Plant Wages'!G47),"_______",('Plant Wages'!G47))</f>
        <v>_______</v>
      </c>
      <c r="H80" s="174" t="str">
        <f>IF(ISBLANK('Plant Wages'!H47),"_______",('Plant Wages'!H47))</f>
        <v>_______</v>
      </c>
      <c r="I80" s="181" t="str">
        <f>IF(ISBLANK('Plant Wages'!I47),"_______",('Plant Wages'!I47))</f>
        <v>_______</v>
      </c>
      <c r="J80" s="180"/>
      <c r="K80" s="174"/>
      <c r="L80" s="174"/>
      <c r="M80" s="174"/>
      <c r="N80" s="174"/>
      <c r="O80" s="174"/>
    </row>
    <row r="81" spans="1:15" ht="14.65" customHeight="1">
      <c r="A81" s="60" t="str">
        <f>'Plant Wages'!A42</f>
        <v>v.</v>
      </c>
      <c r="B81" s="1" t="str">
        <f>'Plant Wages'!B48</f>
        <v>Deburring Specialist</v>
      </c>
      <c r="F81" s="58" t="str">
        <f>IF(ISBLANK('Plant Wages'!F48),"_____________",('Plant Wages'!F48))</f>
        <v>_____________</v>
      </c>
      <c r="G81" s="180" t="str">
        <f>IF(ISBLANK('Plant Wages'!G48),"_______",('Plant Wages'!G48))</f>
        <v>_______</v>
      </c>
      <c r="H81" s="174" t="str">
        <f>IF(ISBLANK('Plant Wages'!H48),"_______",('Plant Wages'!H48))</f>
        <v>_______</v>
      </c>
      <c r="I81" s="181" t="str">
        <f>IF(ISBLANK('Plant Wages'!I48),"_______",('Plant Wages'!I48))</f>
        <v>_______</v>
      </c>
      <c r="J81" s="180"/>
      <c r="K81" s="174"/>
      <c r="L81" s="174"/>
      <c r="M81" s="174"/>
      <c r="N81" s="174"/>
      <c r="O81" s="174"/>
    </row>
    <row r="82" spans="1:15" ht="14.65" customHeight="1">
      <c r="A82" s="60" t="str">
        <f>'Plant Wages'!A43</f>
        <v>w.</v>
      </c>
      <c r="B82" s="1" t="str">
        <f>'Plant Wages'!B49</f>
        <v>Polisher (Molds)</v>
      </c>
      <c r="F82" s="58" t="str">
        <f>IF(ISBLANK('Plant Wages'!F49),"_____________",('Plant Wages'!F49))</f>
        <v>_____________</v>
      </c>
      <c r="G82" s="180" t="str">
        <f>IF(ISBLANK('Plant Wages'!G49),"_______",('Plant Wages'!G49))</f>
        <v>_______</v>
      </c>
      <c r="H82" s="174" t="str">
        <f>IF(ISBLANK('Plant Wages'!H49),"_____________",('Plant Wages'!H49))</f>
        <v>_____________</v>
      </c>
      <c r="I82" s="181" t="str">
        <f>IF(ISBLANK('Plant Wages'!I49),"_______",('Plant Wages'!I49))</f>
        <v>_______</v>
      </c>
      <c r="J82" s="180"/>
      <c r="K82" s="174"/>
      <c r="L82" s="174"/>
      <c r="M82" s="174"/>
      <c r="N82" s="174"/>
      <c r="O82" s="174"/>
    </row>
    <row r="83" spans="1:15" ht="14.65" customHeight="1">
      <c r="A83" s="60" t="str">
        <f>'Plant Wages'!A46</f>
        <v>x.</v>
      </c>
      <c r="B83" s="1" t="str">
        <f>'Plant Wages'!B50</f>
        <v>Toolmaker (Jigs, Fixtures, Gages)</v>
      </c>
      <c r="F83" s="58" t="str">
        <f>IF(ISBLANK('Plant Wages'!F50),"_____________",('Plant Wages'!F50))</f>
        <v>_____________</v>
      </c>
      <c r="G83" s="180" t="str">
        <f>IF(ISBLANK('Plant Wages'!G50),"_______",('Plant Wages'!G50))</f>
        <v>_______</v>
      </c>
      <c r="H83" s="174" t="str">
        <f>IF(ISBLANK('Plant Wages'!H50),"______",('Plant Wages'!H50))</f>
        <v>______</v>
      </c>
      <c r="I83" s="181" t="str">
        <f>IF(ISBLANK('Plant Wages'!I50),"_______",('Plant Wages'!I50))</f>
        <v>_______</v>
      </c>
      <c r="J83" s="180"/>
      <c r="K83" s="174"/>
      <c r="L83" s="174"/>
      <c r="M83" s="174"/>
      <c r="N83" s="174"/>
      <c r="O83" s="174"/>
    </row>
    <row r="84" spans="1:15" ht="12.75" customHeight="1">
      <c r="A84" s="60"/>
      <c r="B84" s="1"/>
      <c r="F84" s="32" t="str">
        <f>'Plant Wages'!F51</f>
        <v>Number of</v>
      </c>
      <c r="G84" s="104"/>
      <c r="H84" s="5" t="str">
        <f>'Plant Wages'!H51</f>
        <v>Wage Rate - $/hour</v>
      </c>
      <c r="I84" s="176"/>
      <c r="J84" s="104"/>
      <c r="K84" s="5"/>
      <c r="L84" s="5"/>
      <c r="N84" s="5"/>
      <c r="O84" s="5"/>
    </row>
    <row r="85" spans="1:15" ht="12.75" customHeight="1">
      <c r="A85" s="60"/>
      <c r="B85" s="99" t="str">
        <f>'Plant Wages'!B52</f>
        <v>Manufacturing Support Functions</v>
      </c>
      <c r="F85" s="173" t="str">
        <f>'Plant Wages'!F52</f>
        <v>Employees</v>
      </c>
      <c r="G85" s="177" t="str">
        <f>'Plant Wages'!G52</f>
        <v>Low</v>
      </c>
      <c r="H85" s="178" t="str">
        <f>'Plant Wages'!H52</f>
        <v>High</v>
      </c>
      <c r="I85" s="179" t="str">
        <f>'Plant Wages'!I52</f>
        <v>Average</v>
      </c>
      <c r="J85" s="177"/>
      <c r="K85" s="178"/>
      <c r="L85" s="217"/>
      <c r="M85" s="178"/>
      <c r="N85" s="178"/>
      <c r="O85" s="217"/>
    </row>
    <row r="86" spans="1:15" ht="14.65" customHeight="1">
      <c r="A86" s="60" t="e">
        <f>'Plant Wages'!#REF!</f>
        <v>#REF!</v>
      </c>
      <c r="B86" s="1" t="str">
        <f>'Plant Wages'!B53</f>
        <v>Assembler (Subassemblies, Controls, etc.)</v>
      </c>
      <c r="F86" s="58" t="str">
        <f>IF(ISBLANK('Plant Wages'!F53),"_____________",('Plant Wages'!F53))</f>
        <v>_____________</v>
      </c>
      <c r="G86" s="180" t="str">
        <f>IF(ISBLANK('Plant Wages'!G53),"_______",('Plant Wages'!G53))</f>
        <v>_______</v>
      </c>
      <c r="H86" s="174" t="str">
        <f>IF(ISBLANK('Plant Wages'!H53),"_______",('Plant Wages'!H53))</f>
        <v>_______</v>
      </c>
      <c r="I86" s="181" t="str">
        <f>IF(ISBLANK('Plant Wages'!I53),"_______",('Plant Wages'!I53))</f>
        <v>_______</v>
      </c>
      <c r="J86" s="180"/>
      <c r="K86" s="174"/>
      <c r="L86" s="174"/>
      <c r="M86" s="174"/>
      <c r="N86" s="174"/>
      <c r="O86" s="174"/>
    </row>
    <row r="87" spans="1:15" ht="14.65" customHeight="1">
      <c r="A87" s="60" t="str">
        <f>'Plant Wages'!A49</f>
        <v>aa.</v>
      </c>
      <c r="B87" s="1" t="str">
        <f>'Plant Wages'!B54</f>
        <v>Engineer</v>
      </c>
      <c r="F87" s="58" t="str">
        <f>IF(ISBLANK('Plant Wages'!F54),"_____________",('Plant Wages'!F54))</f>
        <v>_____________</v>
      </c>
      <c r="G87" s="180" t="str">
        <f>IF(ISBLANK('Plant Wages'!G54),"_______",('Plant Wages'!G54))</f>
        <v>_______</v>
      </c>
      <c r="H87" s="174" t="str">
        <f>IF(ISBLANK('Plant Wages'!H54),"_______",('Plant Wages'!H54))</f>
        <v>_______</v>
      </c>
      <c r="I87" s="181" t="str">
        <f>IF(ISBLANK('Plant Wages'!I54),"_______",('Plant Wages'!I54))</f>
        <v>_______</v>
      </c>
      <c r="J87" s="180"/>
      <c r="K87" s="174"/>
      <c r="L87" s="174"/>
      <c r="M87" s="174"/>
      <c r="N87" s="174"/>
      <c r="O87" s="174"/>
    </row>
    <row r="88" spans="1:15" ht="14.65" customHeight="1">
      <c r="A88" s="60" t="str">
        <f>'Plant Wages'!A50</f>
        <v>bb.</v>
      </c>
      <c r="B88" s="1" t="str">
        <f>'Plant Wages'!B55</f>
        <v>Inspector (CMM Operator)</v>
      </c>
      <c r="F88" s="58" t="str">
        <f>IF(ISBLANK('Plant Wages'!F55),"_____________",('Plant Wages'!F55))</f>
        <v>_____________</v>
      </c>
      <c r="G88" s="180" t="str">
        <f>IF(ISBLANK('Plant Wages'!G55),"_______",('Plant Wages'!G55))</f>
        <v>_______</v>
      </c>
      <c r="H88" s="174" t="str">
        <f>IF(ISBLANK('Plant Wages'!H55),"_______",('Plant Wages'!H55))</f>
        <v>_______</v>
      </c>
      <c r="I88" s="181" t="str">
        <f>IF(ISBLANK('Plant Wages'!I55),"_______",('Plant Wages'!I55))</f>
        <v>_______</v>
      </c>
      <c r="J88" s="180"/>
      <c r="K88" s="174"/>
      <c r="L88" s="174"/>
      <c r="M88" s="174"/>
      <c r="N88" s="174"/>
      <c r="O88" s="174"/>
    </row>
    <row r="89" spans="1:15" ht="14.65" customHeight="1">
      <c r="A89" s="60" t="str">
        <f>'Plant Wages'!A56</f>
        <v>ff.</v>
      </c>
      <c r="B89" s="1" t="str">
        <f>'Plant Wages'!B56</f>
        <v>Machine Repair &amp; Maintenance</v>
      </c>
      <c r="F89" s="58" t="str">
        <f>IF(ISBLANK('Plant Wages'!F56),"_____________",('Plant Wages'!F56))</f>
        <v>_____________</v>
      </c>
      <c r="G89" s="180" t="str">
        <f>IF(ISBLANK('Plant Wages'!G56),"_______",('Plant Wages'!G56))</f>
        <v>_______</v>
      </c>
      <c r="H89" s="174" t="str">
        <f>IF(ISBLANK('Plant Wages'!H56),"_______",('Plant Wages'!H56))</f>
        <v>_______</v>
      </c>
      <c r="I89" s="181" t="str">
        <f>IF(ISBLANK('Plant Wages'!I56),"_______",('Plant Wages'!I56))</f>
        <v>_______</v>
      </c>
      <c r="J89" s="180"/>
      <c r="K89" s="174"/>
      <c r="L89" s="174"/>
      <c r="M89" s="174"/>
      <c r="N89" s="174"/>
      <c r="O89" s="174"/>
    </row>
    <row r="90" spans="1:15" ht="14.65" customHeight="1">
      <c r="A90" s="60" t="str">
        <f>'Plant Wages'!A57</f>
        <v>gg.</v>
      </c>
      <c r="B90" s="1" t="str">
        <f>'Plant Wages'!B57</f>
        <v>Programmer</v>
      </c>
      <c r="F90" s="58" t="str">
        <f>IF(ISBLANK('Plant Wages'!F57),"_____________",('Plant Wages'!F57))</f>
        <v>_____________</v>
      </c>
      <c r="G90" s="180" t="str">
        <f>IF(ISBLANK('Plant Wages'!G57),"_______",('Plant Wages'!G57))</f>
        <v>_______</v>
      </c>
      <c r="H90" s="174" t="str">
        <f>IF(ISBLANK('Plant Wages'!H57),"_______",('Plant Wages'!H57))</f>
        <v>_______</v>
      </c>
      <c r="I90" s="181" t="str">
        <f>IF(ISBLANK('Plant Wages'!I57),"_______",('Plant Wages'!I57))</f>
        <v>_______</v>
      </c>
      <c r="J90" s="180"/>
      <c r="K90" s="174"/>
      <c r="L90" s="174"/>
      <c r="M90" s="174"/>
      <c r="N90" s="174"/>
      <c r="O90" s="174"/>
    </row>
    <row r="91" spans="1:15" ht="14.65" customHeight="1">
      <c r="A91" s="60" t="str">
        <f>'Plant Wages'!A58</f>
        <v>hh.</v>
      </c>
      <c r="B91" s="1" t="str">
        <f>'Plant Wages'!B58</f>
        <v>Shipping/Receiving Clerk</v>
      </c>
      <c r="F91" s="58" t="str">
        <f>IF(ISBLANK('Plant Wages'!F58),"_____________",('Plant Wages'!F58))</f>
        <v>_____________</v>
      </c>
      <c r="G91" s="180" t="str">
        <f>IF(ISBLANK('Plant Wages'!G58),"_______",('Plant Wages'!G58))</f>
        <v>_______</v>
      </c>
      <c r="H91" s="174" t="str">
        <f>IF(ISBLANK('Plant Wages'!H58),"_______",('Plant Wages'!H58))</f>
        <v>_______</v>
      </c>
      <c r="I91" s="181" t="str">
        <f>IF(ISBLANK('Plant Wages'!I58),"_______",('Plant Wages'!I58))</f>
        <v>_______</v>
      </c>
      <c r="J91" s="180"/>
      <c r="K91" s="174"/>
      <c r="L91" s="174"/>
      <c r="M91" s="174"/>
      <c r="N91" s="174"/>
      <c r="O91" s="174"/>
    </row>
    <row r="92" spans="1:15" ht="14.65" customHeight="1">
      <c r="A92" s="60" t="str">
        <f>'Plant Wages'!A59</f>
        <v>ii.</v>
      </c>
      <c r="B92" s="1" t="str">
        <f>'Plant Wages'!B59</f>
        <v>Supervisor/Foreman</v>
      </c>
      <c r="F92" s="58" t="str">
        <f>IF(ISBLANK('Plant Wages'!F59),"_____________",('Plant Wages'!F59))</f>
        <v>_____________</v>
      </c>
      <c r="G92" s="180" t="str">
        <f>IF(ISBLANK('Plant Wages'!G59),"_______",('Plant Wages'!G59))</f>
        <v>_______</v>
      </c>
      <c r="H92" s="174" t="str">
        <f>IF(ISBLANK('Plant Wages'!H59),"_______",('Plant Wages'!H59))</f>
        <v>_______</v>
      </c>
      <c r="I92" s="181" t="str">
        <f>IF(ISBLANK('Plant Wages'!I59),"_______",('Plant Wages'!I59))</f>
        <v>_______</v>
      </c>
      <c r="J92" s="180"/>
      <c r="K92" s="174"/>
      <c r="L92" s="174"/>
      <c r="M92" s="174"/>
      <c r="N92" s="174"/>
      <c r="O92" s="174"/>
    </row>
    <row r="93" spans="1:15" ht="14.65" customHeight="1">
      <c r="A93" s="60" t="str">
        <f>'Plant Wages'!A60</f>
        <v>jj.</v>
      </c>
      <c r="B93" s="1" t="str">
        <f>'Plant Wages'!B60</f>
        <v>Department Lead</v>
      </c>
      <c r="F93" s="58" t="str">
        <f>IF(ISBLANK('Plant Wages'!F60),"_____________",('Plant Wages'!F60))</f>
        <v>_____________</v>
      </c>
      <c r="G93" s="180" t="str">
        <f>IF(ISBLANK('Plant Wages'!G60),"_______",('Plant Wages'!G60))</f>
        <v>_______</v>
      </c>
      <c r="H93" s="174" t="str">
        <f>IF(ISBLANK('Plant Wages'!H60),"_______",('Plant Wages'!H60))</f>
        <v>_______</v>
      </c>
      <c r="I93" s="181" t="str">
        <f>IF(ISBLANK('Plant Wages'!I60),"_______",('Plant Wages'!I60))</f>
        <v>_______</v>
      </c>
      <c r="J93" s="180"/>
      <c r="K93" s="174"/>
      <c r="L93" s="174"/>
      <c r="M93" s="174"/>
      <c r="N93" s="174"/>
      <c r="O93" s="174"/>
    </row>
    <row r="94" spans="1:15" ht="14.65" customHeight="1">
      <c r="A94" s="60">
        <f>'Plant Wages'!A62</f>
        <v>0</v>
      </c>
      <c r="B94" s="1" t="str">
        <f>'Plant Wages'!B61</f>
        <v>Welder, Combination</v>
      </c>
      <c r="F94" s="58" t="str">
        <f>IF(ISBLANK('Plant Wages'!F61),"_____________",('Plant Wages'!F61))</f>
        <v>_____________</v>
      </c>
      <c r="G94" s="180" t="str">
        <f>IF(ISBLANK('Plant Wages'!G61),"_______",('Plant Wages'!G61))</f>
        <v>_______</v>
      </c>
      <c r="H94" s="174" t="str">
        <f>IF(ISBLANK('Plant Wages'!H61),"_______",('Plant Wages'!H61))</f>
        <v>_______</v>
      </c>
      <c r="I94" s="181" t="str">
        <f>IF(ISBLANK('Plant Wages'!I61),"_______",('Plant Wages'!I61))</f>
        <v>_______</v>
      </c>
      <c r="J94" s="180"/>
      <c r="K94" s="174"/>
      <c r="L94" s="174"/>
      <c r="M94" s="174"/>
      <c r="N94" s="174"/>
      <c r="O94" s="174"/>
    </row>
    <row r="95" spans="1:15" ht="14.65" customHeight="1" thickBot="1">
      <c r="A95" s="60">
        <f>'Plant Wages'!A64</f>
        <v>0</v>
      </c>
      <c r="B95" s="1" t="str">
        <f>'Plant Wages'!B63</f>
        <v>Purchasing Agent</v>
      </c>
      <c r="F95" s="58" t="str">
        <f>IF(ISBLANK('Plant Wages'!F63),"_____________",('Plant Wages'!F63))</f>
        <v>_____________</v>
      </c>
      <c r="G95" s="180" t="str">
        <f>IF(ISBLANK('Plant Wages'!G63),"_______",('Plant Wages'!G63))</f>
        <v>_______</v>
      </c>
      <c r="H95" s="174" t="str">
        <f>IF(ISBLANK('Plant Wages'!H63),"_______",('Plant Wages'!H63))</f>
        <v>_______</v>
      </c>
      <c r="I95" s="181" t="str">
        <f>IF(ISBLANK('Plant Wages'!I63),"_______",('Plant Wages'!I63))</f>
        <v>_______</v>
      </c>
      <c r="J95" s="180"/>
      <c r="K95" s="174"/>
      <c r="L95" s="174"/>
      <c r="M95" s="174"/>
      <c r="N95" s="174"/>
      <c r="O95" s="174"/>
    </row>
    <row r="96" spans="1:15" ht="12.75" hidden="1" customHeight="1">
      <c r="I96" s="61"/>
      <c r="J96" s="61"/>
      <c r="K96" s="61"/>
    </row>
    <row r="97" spans="1:11" hidden="1">
      <c r="B97" s="2" t="e">
        <f>#REF!</f>
        <v>#REF!</v>
      </c>
    </row>
    <row r="98" spans="1:11" ht="15" hidden="1" customHeight="1">
      <c r="A98" s="32" t="e">
        <f>#REF!</f>
        <v>#REF!</v>
      </c>
      <c r="B98" s="2" t="e">
        <f>#REF!</f>
        <v>#REF!</v>
      </c>
      <c r="G98" s="18"/>
      <c r="I98" s="31" t="e">
        <f>IF(ISBLANK(#REF!),"_____________",(#REF!))</f>
        <v>#REF!</v>
      </c>
      <c r="J98" s="113" t="str">
        <f>IF(ISBLANK(#REF!),(#REF!),"")</f>
        <v/>
      </c>
      <c r="K98" s="4"/>
    </row>
    <row r="99" spans="1:11" ht="12.75" hidden="1" customHeight="1">
      <c r="A99" s="2"/>
      <c r="B99" t="e">
        <f>#REF!</f>
        <v>#REF!</v>
      </c>
      <c r="J99" s="4"/>
      <c r="K99" s="4"/>
    </row>
    <row r="100" spans="1:11" ht="12.75" hidden="1" customHeight="1">
      <c r="A100" s="2"/>
      <c r="B100" t="e">
        <f>#REF!</f>
        <v>#REF!</v>
      </c>
      <c r="J100" s="4"/>
      <c r="K100" s="4"/>
    </row>
    <row r="101" spans="1:11" ht="12.75" hidden="1" customHeight="1">
      <c r="A101" s="2"/>
      <c r="B101" t="e">
        <f>#REF!</f>
        <v>#REF!</v>
      </c>
      <c r="J101" s="4"/>
      <c r="K101" s="4"/>
    </row>
    <row r="102" spans="1:11" ht="12.75" hidden="1" customHeight="1">
      <c r="A102" s="2"/>
      <c r="B102" t="e">
        <f>#REF!</f>
        <v>#REF!</v>
      </c>
      <c r="J102" s="4"/>
      <c r="K102" s="4"/>
    </row>
    <row r="103" spans="1:11" ht="15" hidden="1" customHeight="1">
      <c r="A103" s="32" t="e">
        <f>#REF!</f>
        <v>#REF!</v>
      </c>
      <c r="B103" s="2" t="e">
        <f>#REF!</f>
        <v>#REF!</v>
      </c>
      <c r="I103" s="31" t="e">
        <f>IF(ISBLANK(#REF!),"_____________",(#REF!))</f>
        <v>#REF!</v>
      </c>
      <c r="J103" s="113" t="str">
        <f>IF(ISBLANK(#REF!),(#REF!),"")</f>
        <v/>
      </c>
      <c r="K103" s="4"/>
    </row>
    <row r="104" spans="1:11" ht="12.75" hidden="1" customHeight="1">
      <c r="A104" s="2"/>
      <c r="B104" t="e">
        <f>#REF!</f>
        <v>#REF!</v>
      </c>
      <c r="E104" t="e">
        <f>#REF!</f>
        <v>#REF!</v>
      </c>
      <c r="J104" s="4"/>
      <c r="K104" s="4"/>
    </row>
    <row r="105" spans="1:11" ht="12.75" hidden="1" customHeight="1">
      <c r="A105" s="2"/>
      <c r="B105" t="e">
        <f>#REF!</f>
        <v>#REF!</v>
      </c>
      <c r="E105" t="e">
        <f>#REF!</f>
        <v>#REF!</v>
      </c>
      <c r="J105" s="4"/>
      <c r="K105" s="4"/>
    </row>
    <row r="106" spans="1:11" ht="12.75" hidden="1" customHeight="1">
      <c r="A106" s="2"/>
      <c r="B106" t="e">
        <f>#REF!</f>
        <v>#REF!</v>
      </c>
      <c r="E106" t="e">
        <f>#REF!</f>
        <v>#REF!</v>
      </c>
      <c r="J106" s="4"/>
      <c r="K106" s="4"/>
    </row>
    <row r="107" spans="1:11" ht="15" hidden="1" customHeight="1">
      <c r="A107" s="32" t="e">
        <f>#REF!</f>
        <v>#REF!</v>
      </c>
      <c r="B107" t="e">
        <f>#REF!</f>
        <v>#REF!</v>
      </c>
      <c r="I107" s="35" t="e">
        <f>IF(ISBLANK(#REF!),"_____________",(#REF!))</f>
        <v>#REF!</v>
      </c>
      <c r="J107" s="113" t="str">
        <f>IF(ISBLANK(#REF!),(#REF!),"")</f>
        <v/>
      </c>
      <c r="K107" s="4"/>
    </row>
    <row r="108" spans="1:11" ht="15" hidden="1" customHeight="1">
      <c r="A108" s="32" t="e">
        <f>#REF!</f>
        <v>#REF!</v>
      </c>
      <c r="B108" t="e">
        <f>#REF!</f>
        <v>#REF!</v>
      </c>
      <c r="J108" s="4"/>
      <c r="K108" s="4"/>
    </row>
    <row r="109" spans="1:11" ht="12.75" hidden="1" customHeight="1">
      <c r="A109" s="2"/>
      <c r="B109" t="e">
        <f>#REF!</f>
        <v>#REF!</v>
      </c>
      <c r="E109" t="e">
        <f>#REF!</f>
        <v>#REF!</v>
      </c>
      <c r="I109" s="31" t="e">
        <f>IF(ISBLANK(#REF!),"_____________",(#REF!))</f>
        <v>#REF!</v>
      </c>
      <c r="J109" s="113" t="str">
        <f>IF(ISBLANK(#REF!),(#REF!),"")</f>
        <v/>
      </c>
      <c r="K109" s="4"/>
    </row>
    <row r="110" spans="1:11" ht="15" hidden="1" customHeight="1">
      <c r="A110" s="32" t="e">
        <f>#REF!</f>
        <v>#REF!</v>
      </c>
      <c r="B110" t="e">
        <f>#REF!</f>
        <v>#REF!</v>
      </c>
      <c r="J110" s="4"/>
      <c r="K110" s="4"/>
    </row>
    <row r="111" spans="1:11" ht="12.75" hidden="1" customHeight="1">
      <c r="A111" s="2"/>
      <c r="B111" t="e">
        <f>#REF!</f>
        <v>#REF!</v>
      </c>
      <c r="E111" t="e">
        <f>#REF!</f>
        <v>#REF!</v>
      </c>
      <c r="I111" s="31" t="e">
        <f>IF(ISBLANK(#REF!),"_____________",(#REF!))</f>
        <v>#REF!</v>
      </c>
      <c r="J111" s="113" t="str">
        <f>IF(ISBLANK(#REF!),(#REF!),"")</f>
        <v/>
      </c>
      <c r="K111" s="4"/>
    </row>
    <row r="112" spans="1:11" ht="15" hidden="1" customHeight="1">
      <c r="A112" s="32" t="e">
        <f>#REF!</f>
        <v>#REF!</v>
      </c>
      <c r="B112" s="2" t="e">
        <f>#REF!</f>
        <v>#REF!</v>
      </c>
      <c r="I112" s="31" t="e">
        <f>IF(ISBLANK(#REF!),"_____________",(#REF!))</f>
        <v>#REF!</v>
      </c>
      <c r="J112" s="113" t="str">
        <f>IF(ISBLANK(#REF!),(#REF!),"")</f>
        <v/>
      </c>
      <c r="K112" s="4"/>
    </row>
    <row r="113" spans="1:10" ht="12.75" hidden="1" customHeight="1">
      <c r="A113" s="2"/>
      <c r="B113" t="e">
        <f>#REF!</f>
        <v>#REF!</v>
      </c>
      <c r="E113" t="e">
        <f>#REF!</f>
        <v>#REF!</v>
      </c>
    </row>
    <row r="114" spans="1:10" ht="12.75" hidden="1" customHeight="1">
      <c r="A114" s="2"/>
      <c r="B114" t="e">
        <f>#REF!</f>
        <v>#REF!</v>
      </c>
      <c r="E114" t="e">
        <f>#REF!</f>
        <v>#REF!</v>
      </c>
    </row>
    <row r="115" spans="1:10" ht="15" hidden="1" customHeight="1">
      <c r="A115" s="32" t="e">
        <f>#REF!</f>
        <v>#REF!</v>
      </c>
      <c r="B115" s="2" t="e">
        <f>#REF!</f>
        <v>#REF!</v>
      </c>
      <c r="I115" s="31" t="e">
        <f>IF(ISBLANK(#REF!),"_____________",(#REF!))</f>
        <v>#REF!</v>
      </c>
      <c r="J115" s="113" t="str">
        <f>IF(ISBLANK(#REF!),(#REF!),"")</f>
        <v/>
      </c>
    </row>
    <row r="116" spans="1:10" ht="12.75" hidden="1" customHeight="1">
      <c r="A116" s="2"/>
      <c r="B116" t="e">
        <f>#REF!</f>
        <v>#REF!</v>
      </c>
      <c r="E116" t="e">
        <f>#REF!</f>
        <v>#REF!</v>
      </c>
    </row>
    <row r="117" spans="1:10" ht="12.75" hidden="1" customHeight="1">
      <c r="A117" s="2"/>
      <c r="B117" t="e">
        <f>#REF!</f>
        <v>#REF!</v>
      </c>
      <c r="E117" t="e">
        <f>#REF!</f>
        <v>#REF!</v>
      </c>
    </row>
    <row r="118" spans="1:10" hidden="1">
      <c r="A118" s="2" t="s">
        <v>183</v>
      </c>
    </row>
    <row r="119" spans="1:10" ht="12.75" hidden="1" customHeight="1">
      <c r="A119" s="32" t="e">
        <f>#REF!</f>
        <v>#REF!</v>
      </c>
      <c r="B119" s="1" t="e">
        <f>#REF!</f>
        <v>#REF!</v>
      </c>
      <c r="C119" s="1"/>
      <c r="D119" s="1"/>
      <c r="E119" s="1"/>
      <c r="F119" s="1"/>
      <c r="G119" s="1"/>
      <c r="H119" s="1"/>
      <c r="I119" s="31"/>
      <c r="J119" s="113"/>
    </row>
    <row r="120" spans="1:10" ht="12.75" hidden="1" customHeight="1">
      <c r="A120" s="32"/>
      <c r="B120" s="1" t="e">
        <f>#REF!</f>
        <v>#REF!</v>
      </c>
      <c r="C120" s="1"/>
      <c r="D120" s="1"/>
      <c r="E120" s="1"/>
      <c r="F120" s="1"/>
      <c r="G120" s="1"/>
      <c r="H120" s="1"/>
      <c r="I120" s="35" t="e">
        <f>IF(ISBLANK(#REF!),"_____________",(#REF!))</f>
        <v>#REF!</v>
      </c>
      <c r="J120" s="113" t="str">
        <f>IF(ISBLANK(#REF!),(#REF!),"")</f>
        <v/>
      </c>
    </row>
    <row r="121" spans="1:10" ht="15" hidden="1" customHeight="1">
      <c r="A121" s="32" t="e">
        <f>#REF!</f>
        <v>#REF!</v>
      </c>
      <c r="B121" s="1" t="e">
        <f>#REF!</f>
        <v>#REF!</v>
      </c>
      <c r="C121" s="1"/>
      <c r="D121" s="1"/>
      <c r="E121" s="1"/>
      <c r="F121" s="1"/>
      <c r="G121" s="1"/>
      <c r="H121" s="1"/>
      <c r="I121" s="31" t="e">
        <f>IF(ISBLANK(#REF!),"_____________",(#REF!))</f>
        <v>#REF!</v>
      </c>
      <c r="J121" s="113" t="str">
        <f>IF(ISBLANK(#REF!),(#REF!),"")</f>
        <v/>
      </c>
    </row>
    <row r="122" spans="1:10" ht="12.75" hidden="1" customHeight="1">
      <c r="A122" s="32"/>
      <c r="B122" s="1" t="e">
        <f>#REF!</f>
        <v>#REF!</v>
      </c>
      <c r="C122" s="1"/>
      <c r="D122" s="1"/>
      <c r="E122" s="1" t="e">
        <f>#REF!</f>
        <v>#REF!</v>
      </c>
      <c r="F122" s="1"/>
      <c r="G122" s="1"/>
      <c r="H122" s="1"/>
      <c r="I122" s="31"/>
      <c r="J122" s="113"/>
    </row>
    <row r="123" spans="1:10" ht="12.75" hidden="1" customHeight="1">
      <c r="A123" s="32"/>
      <c r="B123" s="1" t="e">
        <f>#REF!</f>
        <v>#REF!</v>
      </c>
      <c r="C123" s="1"/>
      <c r="D123" s="1"/>
      <c r="E123" s="1" t="e">
        <f>#REF!</f>
        <v>#REF!</v>
      </c>
      <c r="F123" s="1"/>
      <c r="G123" s="1"/>
      <c r="H123" s="1"/>
      <c r="I123" s="31"/>
      <c r="J123" s="113"/>
    </row>
    <row r="124" spans="1:10" ht="12.75" hidden="1" customHeight="1">
      <c r="A124" s="32"/>
      <c r="B124" s="1" t="e">
        <f>#REF!</f>
        <v>#REF!</v>
      </c>
      <c r="C124" s="1"/>
      <c r="D124" s="1"/>
      <c r="E124" s="1"/>
      <c r="F124" s="1"/>
      <c r="G124" s="1"/>
      <c r="H124" s="1"/>
      <c r="I124" s="31"/>
      <c r="J124" s="113"/>
    </row>
    <row r="125" spans="1:10" hidden="1">
      <c r="A125" s="2" t="e">
        <f>#REF!</f>
        <v>#REF!</v>
      </c>
    </row>
    <row r="126" spans="1:10" ht="15" hidden="1" customHeight="1">
      <c r="A126" s="32" t="e">
        <f>#REF!</f>
        <v>#REF!</v>
      </c>
      <c r="B126" t="e">
        <f>#REF!</f>
        <v>#REF!</v>
      </c>
    </row>
    <row r="127" spans="1:10" ht="12.75" hidden="1" customHeight="1">
      <c r="A127" s="2"/>
      <c r="B127" t="e">
        <f>#REF!</f>
        <v>#REF!</v>
      </c>
      <c r="I127" s="35" t="e">
        <f>IF(ISBLANK(#REF!),"_____________",(#REF!))</f>
        <v>#REF!</v>
      </c>
      <c r="J127" s="113" t="str">
        <f>IF(ISBLANK(#REF!),(#REF!),"")</f>
        <v/>
      </c>
    </row>
    <row r="128" spans="1:10" ht="15" hidden="1" customHeight="1">
      <c r="A128" s="32" t="e">
        <f>#REF!</f>
        <v>#REF!</v>
      </c>
      <c r="B128" t="e">
        <f>#REF!</f>
        <v>#REF!</v>
      </c>
      <c r="I128" s="31" t="e">
        <f>IF(ISBLANK(#REF!),"_____________",(#REF!))</f>
        <v>#REF!</v>
      </c>
      <c r="J128" s="113" t="str">
        <f>IF(ISBLANK(#REF!),(#REF!),"")</f>
        <v/>
      </c>
    </row>
    <row r="129" spans="1:10" ht="12.75" hidden="1" customHeight="1">
      <c r="A129" s="2"/>
      <c r="B129" t="e">
        <f>#REF!</f>
        <v>#REF!</v>
      </c>
    </row>
    <row r="130" spans="1:10" ht="12.75" hidden="1" customHeight="1">
      <c r="A130" s="2"/>
      <c r="B130" t="e">
        <f>#REF!</f>
        <v>#REF!</v>
      </c>
      <c r="I130" s="10" t="e">
        <f>IF(ISBLANK(#REF!),"_____________",(#REF!))</f>
        <v>#REF!</v>
      </c>
    </row>
    <row r="131" spans="1:10" ht="12.75" hidden="1" customHeight="1">
      <c r="A131" s="2"/>
      <c r="B131" t="e">
        <f>#REF!</f>
        <v>#REF!</v>
      </c>
      <c r="D131" s="16" t="e">
        <f>IF(ISBLANK(#REF!),"_____________",(#REF!))</f>
        <v>#REF!</v>
      </c>
      <c r="E131" s="31" t="e">
        <f>IF(ISBLANK(#REF!),"_____________",(#REF!))</f>
        <v>#REF!</v>
      </c>
      <c r="I131" s="10" t="e">
        <f>IF(ISBLANK(#REF!),"_____________",(#REF!))</f>
        <v>#REF!</v>
      </c>
    </row>
    <row r="132" spans="1:10" ht="15" hidden="1" customHeight="1">
      <c r="A132" s="32" t="e">
        <f>#REF!</f>
        <v>#REF!</v>
      </c>
      <c r="B132" t="e">
        <f>#REF!</f>
        <v>#REF!</v>
      </c>
    </row>
    <row r="133" spans="1:10" ht="12.75" hidden="1" customHeight="1">
      <c r="A133" s="2"/>
      <c r="B133" t="e">
        <f>#REF!</f>
        <v>#REF!</v>
      </c>
      <c r="I133" s="35" t="e">
        <f>IF(ISBLANK(#REF!),"_____________",(#REF!))</f>
        <v>#REF!</v>
      </c>
      <c r="J133" s="113" t="str">
        <f>IF(ISBLANK(#REF!),(#REF!),"")</f>
        <v/>
      </c>
    </row>
    <row r="134" spans="1:10" ht="15" hidden="1" customHeight="1">
      <c r="A134" s="32" t="e">
        <f>#REF!</f>
        <v>#REF!</v>
      </c>
      <c r="B134" t="e">
        <f>#REF!</f>
        <v>#REF!</v>
      </c>
      <c r="I134" s="31" t="e">
        <f>IF(ISBLANK(#REF!),"_____________",(#REF!))</f>
        <v>#REF!</v>
      </c>
      <c r="J134" s="113" t="str">
        <f>IF(ISBLANK(#REF!),(#REF!),"")</f>
        <v/>
      </c>
    </row>
    <row r="135" spans="1:10" ht="12.75" hidden="1" customHeight="1">
      <c r="A135" s="2"/>
      <c r="B135" t="e">
        <f>#REF!</f>
        <v>#REF!</v>
      </c>
    </row>
    <row r="136" spans="1:10" ht="12.75" hidden="1" customHeight="1">
      <c r="A136" s="2"/>
      <c r="B136" t="e">
        <f>#REF!</f>
        <v>#REF!</v>
      </c>
      <c r="I136" s="10" t="e">
        <f>IF(ISBLANK(#REF!),"_____________",(#REF!))</f>
        <v>#REF!</v>
      </c>
    </row>
    <row r="137" spans="1:10" ht="12.75" hidden="1" customHeight="1">
      <c r="A137" s="2"/>
      <c r="B137" t="e">
        <f>#REF!</f>
        <v>#REF!</v>
      </c>
      <c r="D137" s="16" t="e">
        <f>IF(ISBLANK(#REF!),"_____________",(#REF!))</f>
        <v>#REF!</v>
      </c>
      <c r="E137" s="31" t="e">
        <f>IF(ISBLANK(#REF!),"_____________",(#REF!))</f>
        <v>#REF!</v>
      </c>
      <c r="I137" s="31" t="e">
        <f>IF(ISBLANK(#REF!),"_____________",(#REF!))</f>
        <v>#REF!</v>
      </c>
    </row>
    <row r="138" spans="1:10" ht="15" hidden="1" customHeight="1">
      <c r="A138" s="32" t="e">
        <f>#REF!</f>
        <v>#REF!</v>
      </c>
      <c r="B138" t="e">
        <f>#REF!</f>
        <v>#REF!</v>
      </c>
    </row>
    <row r="139" spans="1:10" ht="12.75" hidden="1" customHeight="1">
      <c r="A139" s="2"/>
      <c r="B139" t="e">
        <f>#REF!</f>
        <v>#REF!</v>
      </c>
      <c r="I139" s="35" t="e">
        <f>IF(ISBLANK(#REF!),"_____________",(#REF!))</f>
        <v>#REF!</v>
      </c>
      <c r="J139" s="113" t="str">
        <f>IF(ISBLANK(#REF!),(#REF!),"")</f>
        <v/>
      </c>
    </row>
    <row r="140" spans="1:10" ht="12.75" hidden="1" customHeight="1">
      <c r="A140" s="2"/>
      <c r="B140" t="e">
        <f>#REF!</f>
        <v>#REF!</v>
      </c>
      <c r="I140" s="35" t="e">
        <f>IF(ISBLANK(#REF!),"_____________",(#REF!))</f>
        <v>#REF!</v>
      </c>
      <c r="J140" s="113" t="str">
        <f>IF(ISBLANK(#REF!),(#REF!),"")</f>
        <v/>
      </c>
    </row>
    <row r="141" spans="1:10" ht="12.75" hidden="1" customHeight="1">
      <c r="A141" s="2"/>
      <c r="B141" t="e">
        <f>#REF!</f>
        <v>#REF!</v>
      </c>
      <c r="I141" s="35" t="e">
        <f>IF(ISBLANK(#REF!),"_____________",(#REF!))</f>
        <v>#REF!</v>
      </c>
      <c r="J141" s="113" t="str">
        <f>IF(ISBLANK(#REF!),(#REF!),"")</f>
        <v/>
      </c>
    </row>
    <row r="142" spans="1:10" ht="15" hidden="1" customHeight="1">
      <c r="A142" s="32" t="e">
        <f>#REF!</f>
        <v>#REF!</v>
      </c>
      <c r="B142" t="e">
        <f>#REF!</f>
        <v>#REF!</v>
      </c>
    </row>
    <row r="143" spans="1:10" ht="12.75" hidden="1" customHeight="1">
      <c r="A143" s="2"/>
      <c r="B143" t="e">
        <f>#REF!</f>
        <v>#REF!</v>
      </c>
      <c r="I143" s="31"/>
      <c r="J143" s="113"/>
    </row>
    <row r="144" spans="1:10" ht="12.75" hidden="1" customHeight="1">
      <c r="A144" s="2"/>
      <c r="B144" t="e">
        <f>#REF!</f>
        <v>#REF!</v>
      </c>
      <c r="I144" s="31" t="e">
        <f>IF(ISBLANK(#REF!),"_____________",(#REF!))</f>
        <v>#REF!</v>
      </c>
      <c r="J144" s="113" t="str">
        <f>IF(ISBLANK(#REF!),(#REF!),"")</f>
        <v/>
      </c>
    </row>
    <row r="145" spans="1:13" ht="15" hidden="1" customHeight="1">
      <c r="A145" s="32" t="e">
        <f>#REF!</f>
        <v>#REF!</v>
      </c>
      <c r="B145" t="e">
        <f>#REF!</f>
        <v>#REF!</v>
      </c>
      <c r="I145" s="35" t="e">
        <f>IF(ISBLANK(#REF!),"_____________",(#REF!))</f>
        <v>#REF!</v>
      </c>
      <c r="J145" s="113" t="str">
        <f>IF(ISBLANK(#REF!),(#REF!),"")</f>
        <v/>
      </c>
    </row>
    <row r="146" spans="1:13" ht="15" hidden="1" customHeight="1">
      <c r="A146" s="32" t="e">
        <f>#REF!</f>
        <v>#REF!</v>
      </c>
      <c r="B146" t="e">
        <f>#REF!</f>
        <v>#REF!</v>
      </c>
    </row>
    <row r="147" spans="1:13" ht="12.75" hidden="1" customHeight="1">
      <c r="B147" t="e">
        <f>#REF!</f>
        <v>#REF!</v>
      </c>
      <c r="I147" s="35" t="e">
        <f>IF(ISBLANK(#REF!),"_____________",(#REF!))</f>
        <v>#REF!</v>
      </c>
      <c r="J147" s="113" t="str">
        <f>IF(ISBLANK(#REF!),(#REF!),"")</f>
        <v/>
      </c>
    </row>
    <row r="148" spans="1:13" ht="12.75" hidden="1" customHeight="1">
      <c r="B148" t="e">
        <f>#REF!</f>
        <v>#REF!</v>
      </c>
      <c r="I148" s="35" t="e">
        <f>IF(ISBLANK(#REF!),"_____________",(#REF!))</f>
        <v>#REF!</v>
      </c>
      <c r="J148" s="113" t="str">
        <f>IF(ISBLANK(#REF!),(#REF!),"")</f>
        <v/>
      </c>
    </row>
    <row r="149" spans="1:13" ht="12.75" hidden="1" customHeight="1">
      <c r="B149" t="e">
        <f>#REF!</f>
        <v>#REF!</v>
      </c>
      <c r="I149" s="35" t="e">
        <f>IF(ISBLANK(#REF!),"_____________",(#REF!))</f>
        <v>#REF!</v>
      </c>
      <c r="J149" s="113" t="str">
        <f>IF(ISBLANK(#REF!),(#REF!),"")</f>
        <v/>
      </c>
    </row>
    <row r="150" spans="1:13" ht="12.75" hidden="1" customHeight="1" thickBot="1">
      <c r="B150" t="e">
        <f>#REF!</f>
        <v>#REF!</v>
      </c>
      <c r="I150" s="35" t="e">
        <f>IF(ISBLANK(#REF!),"_____________",(#REF!))</f>
        <v>#REF!</v>
      </c>
      <c r="J150" s="113" t="str">
        <f>IF(ISBLANK(#REF!),(#REF!),"")</f>
        <v/>
      </c>
    </row>
    <row r="151" spans="1:13" ht="12" customHeight="1">
      <c r="A151" s="103"/>
      <c r="B151" s="114" t="str">
        <f>Benefits!B1</f>
        <v>Employee Benefit Programs</v>
      </c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</row>
    <row r="152" spans="1:13" ht="12" customHeight="1">
      <c r="A152" s="3" t="str">
        <f>Benefits!A2</f>
        <v>6.</v>
      </c>
      <c r="B152" s="133" t="str">
        <f>Benefits!B2</f>
        <v>Benefit Plans Offered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2" customHeight="1">
      <c r="A153" s="133"/>
      <c r="B153" s="133"/>
      <c r="C153" s="133"/>
      <c r="D153" s="133"/>
      <c r="E153" s="53"/>
      <c r="F153" s="139" t="s">
        <v>366</v>
      </c>
      <c r="G153" s="385" t="s">
        <v>201</v>
      </c>
      <c r="H153" s="385"/>
      <c r="I153" s="383" t="s">
        <v>368</v>
      </c>
      <c r="J153" s="383"/>
      <c r="K153" s="383" t="s">
        <v>369</v>
      </c>
      <c r="L153" s="383"/>
      <c r="M153" s="133"/>
    </row>
    <row r="154" spans="1:13" ht="12" customHeight="1">
      <c r="A154" s="133"/>
      <c r="B154" s="133"/>
      <c r="C154" s="133"/>
      <c r="D154" s="133"/>
      <c r="E154" s="53"/>
      <c r="F154" s="139" t="s">
        <v>76</v>
      </c>
      <c r="G154" s="385" t="s">
        <v>367</v>
      </c>
      <c r="H154" s="385"/>
      <c r="I154" s="383" t="s">
        <v>70</v>
      </c>
      <c r="J154" s="383"/>
      <c r="K154" s="140" t="s">
        <v>199</v>
      </c>
      <c r="L154" s="140"/>
      <c r="M154" s="133"/>
    </row>
    <row r="155" spans="1:13" ht="12" customHeight="1">
      <c r="B155" s="134" t="str">
        <f>Benefits!B6</f>
        <v>Medical/Hospitalization - Employee Coverage</v>
      </c>
      <c r="C155" s="133"/>
      <c r="D155" s="133"/>
      <c r="E155" s="133"/>
      <c r="F155" s="116" t="str">
        <f>IF(ISBLANK(Benefits!F6),"___",(Benefits!F6))</f>
        <v>___</v>
      </c>
      <c r="G155" s="117" t="str">
        <f>IF(ISBLANK(Benefits!H6),"_____________",(Benefits!H6))</f>
        <v>_____________</v>
      </c>
      <c r="H155" s="136" t="str">
        <f>Benefits!I6</f>
        <v>%</v>
      </c>
      <c r="I155" s="19" t="str">
        <f>IF(ISBLANK(Benefits!J6),"_____________",(Benefits!J6))</f>
        <v>_____________</v>
      </c>
      <c r="J155" s="15"/>
      <c r="K155" s="19" t="str">
        <f>IF(ISBLANK(Benefits!L6),"________",(Benefits!L6))</f>
        <v>________</v>
      </c>
      <c r="L155" s="135"/>
    </row>
    <row r="156" spans="1:13" ht="12" customHeight="1">
      <c r="B156" s="134" t="str">
        <f>Benefits!B7</f>
        <v>Medical/Hospitalization - Dependent/Family Coverage</v>
      </c>
      <c r="C156" s="133"/>
      <c r="D156" s="133"/>
      <c r="E156" s="133"/>
      <c r="F156" s="116" t="str">
        <f>IF(ISBLANK(Benefits!F7),"___",(Benefits!F7))</f>
        <v>___</v>
      </c>
      <c r="G156" s="117" t="str">
        <f>IF(ISBLANK(Benefits!H7),"_____________",(Benefits!H7))</f>
        <v>_____________</v>
      </c>
      <c r="H156" s="136" t="str">
        <f>Benefits!I7</f>
        <v>%</v>
      </c>
      <c r="I156" s="19" t="str">
        <f>IF(ISBLANK(Benefits!J7),"_____________",(Benefits!J7))</f>
        <v>_____________</v>
      </c>
      <c r="J156" s="15"/>
      <c r="K156" s="19" t="str">
        <f>IF(ISBLANK(Benefits!L7),"________",(Benefits!L7))</f>
        <v>________</v>
      </c>
      <c r="L156" s="135"/>
    </row>
    <row r="157" spans="1:13" ht="12" customHeight="1">
      <c r="B157" s="134" t="str">
        <f>Benefits!B8</f>
        <v>Prescription Drug Plan (even if included in medical plan)</v>
      </c>
      <c r="C157" s="133"/>
      <c r="D157" s="133"/>
      <c r="E157" s="133"/>
      <c r="F157" s="116" t="str">
        <f>IF(ISBLANK(Benefits!F8),"___",(Benefits!F8))</f>
        <v>___</v>
      </c>
      <c r="G157" s="117" t="str">
        <f>IF(ISBLANK(Benefits!H8),"_____________",(Benefits!H8))</f>
        <v>_____________</v>
      </c>
      <c r="H157" s="136" t="str">
        <f>Benefits!I8</f>
        <v>%</v>
      </c>
      <c r="I157" s="19" t="str">
        <f>IF(ISBLANK(Benefits!J8),"_____________",(Benefits!J8))</f>
        <v>_____________</v>
      </c>
      <c r="J157" s="15"/>
      <c r="K157" s="19" t="str">
        <f>IF(ISBLANK(Benefits!L8),"________",(Benefits!L8))</f>
        <v>________</v>
      </c>
      <c r="L157" s="138" t="str">
        <f>Benefits!M8</f>
        <v>Branded</v>
      </c>
      <c r="M157" s="137"/>
    </row>
    <row r="158" spans="1:13" ht="12" customHeight="1">
      <c r="B158" s="134"/>
      <c r="C158" s="133"/>
      <c r="D158" s="133"/>
      <c r="E158" s="133"/>
      <c r="F158" s="116"/>
      <c r="G158" s="117"/>
      <c r="H158" s="136"/>
      <c r="I158" s="19"/>
      <c r="J158" s="15"/>
      <c r="K158" s="19" t="str">
        <f>IF(ISBLANK(Benefits!L9),"________",(Benefits!L9))</f>
        <v>________</v>
      </c>
      <c r="L158" s="138" t="str">
        <f>Benefits!M9</f>
        <v>Generic</v>
      </c>
    </row>
    <row r="159" spans="1:13" ht="12" customHeight="1">
      <c r="B159" s="134" t="str">
        <f>Benefits!B10</f>
        <v>Dental Plan (even if included in medical plan)</v>
      </c>
      <c r="C159" s="133"/>
      <c r="D159" s="133"/>
      <c r="E159" s="133"/>
      <c r="F159" s="116" t="str">
        <f>IF(ISBLANK(Benefits!F10),"___",(Benefits!F10))</f>
        <v>___</v>
      </c>
      <c r="G159" s="117" t="str">
        <f>IF(ISBLANK(Benefits!H10),"_____________",(Benefits!H10))</f>
        <v>_____________</v>
      </c>
      <c r="H159" s="136" t="str">
        <f>Benefits!I10</f>
        <v>%</v>
      </c>
      <c r="I159" s="19" t="str">
        <f>IF(ISBLANK(Benefits!J10),"_____________",(Benefits!J10))</f>
        <v>_____________</v>
      </c>
      <c r="J159" s="15"/>
      <c r="K159" s="19" t="str">
        <f>IF(ISBLANK(Benefits!L10),"________",(Benefits!L10))</f>
        <v>________</v>
      </c>
      <c r="L159" s="135"/>
    </row>
    <row r="160" spans="1:13" ht="12" customHeight="1">
      <c r="B160" s="134" t="str">
        <f>Benefits!B11</f>
        <v>Vision/Optical Plan</v>
      </c>
      <c r="C160" s="133"/>
      <c r="D160" s="133"/>
      <c r="E160" s="133"/>
      <c r="F160" s="116" t="str">
        <f>IF(ISBLANK(Benefits!F11),"___",(Benefits!F11))</f>
        <v>___</v>
      </c>
      <c r="G160" s="117" t="str">
        <f>IF(ISBLANK(Benefits!H11),"_____________",(Benefits!H11))</f>
        <v>_____________</v>
      </c>
      <c r="H160" s="136" t="str">
        <f>Benefits!I11</f>
        <v>%</v>
      </c>
      <c r="I160" s="19" t="str">
        <f>IF(ISBLANK(Benefits!J11),"_____________",(Benefits!J11))</f>
        <v>_____________</v>
      </c>
      <c r="J160" s="15"/>
      <c r="K160" s="19" t="str">
        <f>IF(ISBLANK(Benefits!L11),"________",(Benefits!L11))</f>
        <v>________</v>
      </c>
      <c r="L160" s="135"/>
    </row>
    <row r="161" spans="1:12" ht="12" customHeight="1">
      <c r="B161" s="134" t="str">
        <f>Benefits!B13</f>
        <v>Group Term Life Insurance</v>
      </c>
      <c r="C161" s="133"/>
      <c r="D161" s="133"/>
      <c r="E161" s="133"/>
      <c r="F161" s="116" t="str">
        <f>IF(ISBLANK(Benefits!F13),"___",(Benefits!F13))</f>
        <v>___</v>
      </c>
      <c r="G161" s="117" t="str">
        <f>IF(ISBLANK(Benefits!H13),"_____________",(Benefits!H13))</f>
        <v>_____________</v>
      </c>
      <c r="H161" s="136" t="str">
        <f>Benefits!I13</f>
        <v>%</v>
      </c>
      <c r="I161" s="19"/>
      <c r="J161" s="15"/>
      <c r="K161" s="19"/>
      <c r="L161" s="135"/>
    </row>
    <row r="162" spans="1:12" ht="12" customHeight="1">
      <c r="B162" s="134" t="str">
        <f>Benefits!B14</f>
        <v>Long-term Disability Insurance</v>
      </c>
      <c r="C162" s="133"/>
      <c r="D162" s="133"/>
      <c r="E162" s="133"/>
      <c r="F162" s="116" t="str">
        <f>IF(ISBLANK(Benefits!F14),"___",(Benefits!F14))</f>
        <v>___</v>
      </c>
      <c r="G162" s="117" t="str">
        <f>IF(ISBLANK(Benefits!H14),"_____________",(Benefits!H14))</f>
        <v>_____________</v>
      </c>
      <c r="H162" s="136" t="str">
        <f>Benefits!I14</f>
        <v>%</v>
      </c>
      <c r="I162" s="19"/>
      <c r="J162" s="15"/>
      <c r="K162" s="19"/>
      <c r="L162" s="135"/>
    </row>
    <row r="163" spans="1:12" ht="12" customHeight="1">
      <c r="B163" s="134" t="str">
        <f>Benefits!B15</f>
        <v>Short-term Disability Insurance</v>
      </c>
      <c r="C163" s="133"/>
      <c r="D163" s="133"/>
      <c r="E163" s="133"/>
      <c r="F163" s="116" t="str">
        <f>IF(ISBLANK(Benefits!F15),"___",(Benefits!F15))</f>
        <v>___</v>
      </c>
      <c r="G163" s="117" t="str">
        <f>IF(ISBLANK(Benefits!H15),"_____________",(Benefits!H15))</f>
        <v>_____________</v>
      </c>
      <c r="H163" s="136" t="str">
        <f>Benefits!I15</f>
        <v>%</v>
      </c>
      <c r="I163" s="19"/>
      <c r="J163" s="15"/>
      <c r="K163" s="19"/>
      <c r="L163" s="135"/>
    </row>
    <row r="164" spans="1:12" ht="12" customHeight="1">
      <c r="B164" s="134" t="str">
        <f>Benefits!B16</f>
        <v>Employee Assistance Program*</v>
      </c>
      <c r="C164" s="133"/>
      <c r="D164" s="133"/>
      <c r="E164" s="133"/>
      <c r="F164" s="116" t="str">
        <f>IF(ISBLANK(Benefits!F16),"___",(Benefits!F16))</f>
        <v>___</v>
      </c>
      <c r="G164" s="117" t="str">
        <f>IF(ISBLANK(Benefits!H16),"_____________",(Benefits!H16))</f>
        <v>_____________</v>
      </c>
      <c r="H164" s="136" t="str">
        <f>Benefits!I16</f>
        <v>%</v>
      </c>
      <c r="I164" s="19"/>
      <c r="J164" s="15"/>
      <c r="K164" s="19"/>
      <c r="L164" s="135"/>
    </row>
    <row r="165" spans="1:12" ht="12" customHeight="1">
      <c r="B165" s="134"/>
      <c r="C165" s="134" t="str">
        <f>Benefits!B17</f>
        <v>*program to handle personal &amp; work related problems, i.e., drug dependency, mental health, financial, legal, etc.</v>
      </c>
      <c r="D165" s="134"/>
      <c r="E165" s="134"/>
      <c r="F165" s="116"/>
      <c r="G165" s="117"/>
      <c r="H165" s="136"/>
      <c r="I165" s="19"/>
      <c r="J165" s="15"/>
      <c r="K165" s="19"/>
      <c r="L165" s="135"/>
    </row>
    <row r="166" spans="1:12" ht="12" customHeight="1">
      <c r="A166" s="32" t="str">
        <f>Benefits!A28</f>
        <v>7.</v>
      </c>
      <c r="B166" t="str">
        <f>Benefits!B28</f>
        <v>Do you offer a High Deductible Health Plan (HDHP) or Health Saving Account (HSA)?</v>
      </c>
      <c r="F166" s="116"/>
      <c r="G166" s="117"/>
      <c r="H166" s="23"/>
      <c r="I166" s="19"/>
      <c r="K166" s="116" t="str">
        <f>IF(ISBLANK(HSACONT),"___",(HSACONT))</f>
        <v>___</v>
      </c>
    </row>
    <row r="167" spans="1:12" ht="12" customHeight="1">
      <c r="A167" s="32" t="str">
        <f>Benefits!A29</f>
        <v>8.</v>
      </c>
      <c r="B167" t="str">
        <f>Benefits!B29</f>
        <v>Do you provide a “Cafeteria Plan” or flexible benefit  program (“Section 125”) that</v>
      </c>
      <c r="F167" s="116"/>
      <c r="G167" s="117"/>
      <c r="H167" s="23"/>
      <c r="I167" s="19"/>
      <c r="K167" s="116" t="str">
        <f>IF(ISBLANK(CAF),"___",(CAF))</f>
        <v>___</v>
      </c>
    </row>
    <row r="168" spans="1:12" ht="12" customHeight="1">
      <c r="A168" s="32"/>
      <c r="B168" t="str">
        <f>Benefits!B30</f>
        <v>allows employees to select different levels of different benefits?</v>
      </c>
      <c r="F168" s="116"/>
      <c r="G168" s="117"/>
      <c r="H168" s="23"/>
      <c r="I168" s="19"/>
      <c r="K168" s="116"/>
    </row>
    <row r="169" spans="1:12" ht="12" customHeight="1">
      <c r="A169" s="32" t="str">
        <f>Benefits!A31</f>
        <v>9.</v>
      </c>
      <c r="B169" t="str">
        <f>Benefits!B31</f>
        <v>Total medical insurance premium rate per month (based on a 40-44 year old employee)</v>
      </c>
    </row>
    <row r="170" spans="1:12" ht="12" customHeight="1">
      <c r="B170" t="str">
        <f>Benefits!C32</f>
        <v>Single rate</v>
      </c>
      <c r="J170" s="15" t="str">
        <f>Benefits!K32</f>
        <v>$</v>
      </c>
      <c r="K170" s="59" t="str">
        <f>IF(ISBLANK(Benefits!L32),"_____________",(Benefits!L32))</f>
        <v>_____________</v>
      </c>
    </row>
    <row r="171" spans="1:12" ht="12" customHeight="1">
      <c r="B171" s="118" t="str">
        <f>Benefits!C33</f>
        <v>Single plus one rate</v>
      </c>
      <c r="J171" s="15"/>
      <c r="K171" s="19"/>
    </row>
    <row r="172" spans="1:12" ht="12" customHeight="1">
      <c r="B172" s="119" t="str">
        <f>Benefits!C34</f>
        <v>Employee + spouse</v>
      </c>
      <c r="J172" s="15" t="str">
        <f>Benefits!K34</f>
        <v>$</v>
      </c>
      <c r="K172" s="59" t="str">
        <f>IF(ISBLANK(Benefits!L34),"_____________",(Benefits!L34))</f>
        <v>_____________</v>
      </c>
    </row>
    <row r="173" spans="1:12" ht="12" customHeight="1">
      <c r="B173" s="119" t="str">
        <f>Benefits!C35</f>
        <v>Employee + child</v>
      </c>
      <c r="J173" s="15" t="str">
        <f>Benefits!K35</f>
        <v>$</v>
      </c>
      <c r="K173" s="59" t="str">
        <f>IF(ISBLANK(Benefits!L35),"_____________",(Benefits!L35))</f>
        <v>_____________</v>
      </c>
    </row>
    <row r="174" spans="1:12" ht="12" customHeight="1">
      <c r="B174" t="str">
        <f>Benefits!C36</f>
        <v>Family rate</v>
      </c>
      <c r="J174" s="15" t="str">
        <f>Benefits!K36</f>
        <v>$</v>
      </c>
      <c r="K174" s="59" t="str">
        <f>IF(ISBLANK(Benefits!L36),"_____________",(Benefits!L36))</f>
        <v>_____________</v>
      </c>
    </row>
    <row r="175" spans="1:12" ht="12" customHeight="1">
      <c r="A175" s="32" t="str">
        <f>Benefits!A37</f>
        <v>10.</v>
      </c>
      <c r="B175" t="str">
        <f>Benefits!B37</f>
        <v xml:space="preserve">Number of family members needed to meet the family deductible coverage </v>
      </c>
      <c r="H175" s="141"/>
      <c r="K175" s="35" t="str">
        <f>IF(ISBLANK(Benefits!L37),"_______",(Benefits!L37))</f>
        <v>_______</v>
      </c>
    </row>
    <row r="176" spans="1:12" ht="13.15" hidden="1" customHeight="1">
      <c r="A176" s="32" t="e">
        <f>Benefits!#REF!</f>
        <v>#REF!</v>
      </c>
      <c r="B176" t="e">
        <f>Benefits!#REF!</f>
        <v>#REF!</v>
      </c>
      <c r="I176" s="35" t="e">
        <f>IF(ISBLANK(Benefits!#REF!),"_____________",(Benefits!#REF!))</f>
        <v>#REF!</v>
      </c>
      <c r="J176" s="36" t="str">
        <f>IF(ISBLANK(Benefits!#REF!),(Benefits!#REF!),"")</f>
        <v/>
      </c>
    </row>
    <row r="177" spans="1:12" ht="13.15" hidden="1" customHeight="1">
      <c r="A177" s="32" t="e">
        <f>Benefits!#REF!</f>
        <v>#REF!</v>
      </c>
      <c r="B177" s="34" t="e">
        <f>Benefits!#REF!</f>
        <v>#REF!</v>
      </c>
      <c r="I177" s="35" t="e">
        <f>IF(ISBLANK(Benefits!#REF!),"_____________",(Benefits!#REF!))</f>
        <v>#REF!</v>
      </c>
      <c r="J177" s="36" t="str">
        <f>IF(ISBLANK(Benefits!#REF!),(Benefits!#REF!),"")</f>
        <v/>
      </c>
    </row>
    <row r="178" spans="1:12" ht="13.15" hidden="1" customHeight="1">
      <c r="A178" s="32" t="str">
        <f>Benefits!A2</f>
        <v>6.</v>
      </c>
      <c r="B178" s="2" t="str">
        <f>Benefits!B2</f>
        <v>Benefit Plans Offered</v>
      </c>
    </row>
    <row r="179" spans="1:12" ht="13.15" hidden="1" customHeight="1">
      <c r="F179" s="115" t="str">
        <f>Benefits!F3</f>
        <v>Indicate</v>
      </c>
      <c r="G179" s="56" t="str">
        <f>Benefits!H3</f>
        <v>% of Premium</v>
      </c>
      <c r="H179" s="56"/>
      <c r="I179" s="56" t="str">
        <f>Benefits!J3</f>
        <v>Deductible</v>
      </c>
      <c r="J179" s="56"/>
      <c r="K179" s="56" t="str">
        <f>Benefits!L3</f>
        <v>Co-Pay</v>
      </c>
    </row>
    <row r="180" spans="1:12" ht="13.15" hidden="1" customHeight="1">
      <c r="F180" s="115" t="str">
        <f>Benefits!F4</f>
        <v>If Offered</v>
      </c>
      <c r="G180" s="56" t="str">
        <f>Benefits!H4</f>
        <v>Paid by</v>
      </c>
      <c r="H180" s="56"/>
      <c r="I180" s="56" t="str">
        <f>Benefits!J4</f>
        <v>Amount</v>
      </c>
      <c r="J180" s="56"/>
      <c r="K180" s="56" t="str">
        <f>Benefits!L4</f>
        <v>Amount</v>
      </c>
    </row>
    <row r="181" spans="1:12" ht="13.15" hidden="1" customHeight="1">
      <c r="F181" s="115" t="str">
        <f>Benefits!F5</f>
        <v>(Y/N)</v>
      </c>
      <c r="G181" s="56" t="str">
        <f>Benefits!H5</f>
        <v>Company</v>
      </c>
      <c r="H181" s="56"/>
      <c r="I181" s="56" t="str">
        <f>Benefits!J5</f>
        <v>(Per Person)</v>
      </c>
      <c r="J181" s="56"/>
      <c r="K181" s="56" t="str">
        <f>Benefits!L5</f>
        <v>(Per Office Visit)</v>
      </c>
    </row>
    <row r="182" spans="1:12" ht="13.15" hidden="1" customHeight="1">
      <c r="A182" s="34" t="str">
        <f>Benefits!B6</f>
        <v>Medical/Hospitalization - Employee Coverage</v>
      </c>
      <c r="F182" s="116" t="str">
        <f>IF(ISBLANK(Benefits!F7),"___",(Benefits!F7))</f>
        <v>___</v>
      </c>
      <c r="G182" s="117" t="str">
        <f>IF(ISBLANK(Benefits!H7),"_____________",(Benefits!H7))</f>
        <v>_____________</v>
      </c>
      <c r="H182" s="23" t="str">
        <f>IF(ISBLANK(Benefits!I7),"_____________",(Benefits!I7))</f>
        <v>%</v>
      </c>
      <c r="I182" s="19" t="str">
        <f>IF(ISBLANK(Benefits!J7),"_____________",(Benefits!J7))</f>
        <v>_____________</v>
      </c>
      <c r="J182" s="15"/>
      <c r="K182" s="19" t="str">
        <f>IF(ISBLANK(Benefits!L7),"_____________",(Benefits!L7))</f>
        <v>_____________</v>
      </c>
    </row>
    <row r="183" spans="1:12" ht="13.15" hidden="1" customHeight="1">
      <c r="A183" s="34" t="str">
        <f>Benefits!B8</f>
        <v>Prescription Drug Plan (even if included in medical plan)</v>
      </c>
      <c r="F183" s="116" t="str">
        <f>IF(ISBLANK(Benefits!F8),"___",(Benefits!F8))</f>
        <v>___</v>
      </c>
      <c r="G183" s="117" t="str">
        <f>IF(ISBLANK(Benefits!H8),"_____________",(Benefits!H8))</f>
        <v>_____________</v>
      </c>
      <c r="H183" s="23" t="str">
        <f>IF(ISBLANK(Benefits!I8),"_____________",(Benefits!I8))</f>
        <v>%</v>
      </c>
      <c r="I183" s="19" t="str">
        <f>IF(ISBLANK(Benefits!J8),"_____________",(Benefits!J8))</f>
        <v>_____________</v>
      </c>
      <c r="J183" s="15"/>
      <c r="K183" s="19" t="str">
        <f>IF(ISBLANK(Benefits!L8),"_____________",(Benefits!L8))</f>
        <v>_____________</v>
      </c>
      <c r="L183" s="120" t="str">
        <f>IF(ISBLANK(Benefits!M8),"_____________",(Benefits!M8))</f>
        <v>Branded</v>
      </c>
    </row>
    <row r="184" spans="1:12" ht="13.15" hidden="1" customHeight="1">
      <c r="A184" s="34"/>
      <c r="F184" s="116"/>
      <c r="G184" s="117"/>
      <c r="H184" s="23"/>
      <c r="I184" s="121"/>
      <c r="J184" s="15"/>
      <c r="K184" s="19" t="str">
        <f>IF(ISBLANK(Benefits!L9),"_____________",(Benefits!L9))</f>
        <v>_____________</v>
      </c>
      <c r="L184" s="120" t="str">
        <f>IF(ISBLANK(Benefits!M9),"_____________",(Benefits!M9))</f>
        <v>Generic</v>
      </c>
    </row>
    <row r="185" spans="1:12" ht="13.15" hidden="1" customHeight="1">
      <c r="A185" s="34" t="str">
        <f>Benefits!B10</f>
        <v>Dental Plan (even if included in medical plan)</v>
      </c>
      <c r="F185" s="116" t="str">
        <f>IF(ISBLANK(Benefits!F10),"___",(Benefits!F10))</f>
        <v>___</v>
      </c>
      <c r="G185" s="117" t="str">
        <f>IF(ISBLANK(Benefits!H10),"_____________",(Benefits!H10))</f>
        <v>_____________</v>
      </c>
      <c r="H185" s="23" t="str">
        <f>IF(ISBLANK(Benefits!I10),"_____________",(Benefits!I10))</f>
        <v>%</v>
      </c>
      <c r="I185" s="19" t="str">
        <f>IF(ISBLANK(Benefits!J10),"_____________",(Benefits!J10))</f>
        <v>_____________</v>
      </c>
      <c r="J185" s="15"/>
      <c r="K185" s="19" t="str">
        <f>IF(ISBLANK(Benefits!L10),"_____________",(Benefits!L10))</f>
        <v>_____________</v>
      </c>
    </row>
    <row r="186" spans="1:12" ht="13.15" hidden="1" customHeight="1">
      <c r="A186" s="34" t="str">
        <f>Benefits!B11</f>
        <v>Vision/Optical Plan</v>
      </c>
      <c r="F186" s="116" t="str">
        <f>IF(ISBLANK(Benefits!F11),"___",(Benefits!F11))</f>
        <v>___</v>
      </c>
      <c r="G186" s="117" t="str">
        <f>IF(ISBLANK(Benefits!H11),"_____________",(Benefits!H11))</f>
        <v>_____________</v>
      </c>
      <c r="H186" s="23" t="str">
        <f>IF(ISBLANK(Benefits!I11),"_____________",(Benefits!I11))</f>
        <v>%</v>
      </c>
      <c r="I186" s="19" t="str">
        <f>IF(ISBLANK(Benefits!J11),"_____________",(Benefits!J11))</f>
        <v>_____________</v>
      </c>
      <c r="J186" s="15"/>
      <c r="K186" s="19" t="str">
        <f>IF(ISBLANK(Benefits!L11),"_____________",(Benefits!L11))</f>
        <v>_____________</v>
      </c>
    </row>
    <row r="187" spans="1:12" ht="13.15" hidden="1" customHeight="1">
      <c r="A187" s="34" t="str">
        <f>Benefits!B12</f>
        <v>Retiree Medical Insurance Coverage (under FASB 106)</v>
      </c>
      <c r="F187" s="116" t="str">
        <f>IF(ISBLANK(Benefits!F12),"___",(Benefits!F12))</f>
        <v>___</v>
      </c>
      <c r="G187" s="117" t="str">
        <f>IF(ISBLANK(Benefits!H12),"_____________",(Benefits!H12))</f>
        <v>_____________</v>
      </c>
      <c r="H187" s="23" t="str">
        <f>IF(ISBLANK(Benefits!I12),"_____________",(Benefits!I12))</f>
        <v>%</v>
      </c>
      <c r="I187" s="19" t="str">
        <f>IF(ISBLANK(Benefits!J12),"_____________",(Benefits!J12))</f>
        <v>_____________</v>
      </c>
      <c r="J187" s="15"/>
      <c r="K187" s="19" t="str">
        <f>IF(ISBLANK(Benefits!L12),"_____________",(Benefits!L12))</f>
        <v>_____________</v>
      </c>
    </row>
    <row r="188" spans="1:12" ht="13.15" hidden="1" customHeight="1">
      <c r="A188" s="34" t="str">
        <f>Benefits!B13</f>
        <v>Group Term Life Insurance</v>
      </c>
      <c r="F188" s="116" t="str">
        <f>IF(ISBLANK(Benefits!F13),"___",(Benefits!F13))</f>
        <v>___</v>
      </c>
      <c r="G188" s="117" t="str">
        <f>IF(ISBLANK(Benefits!H13),"_____________",(Benefits!H13))</f>
        <v>_____________</v>
      </c>
      <c r="H188" s="23" t="str">
        <f>IF(ISBLANK(Benefits!I13),"_____________",(Benefits!I13))</f>
        <v>%</v>
      </c>
      <c r="I188" s="122"/>
      <c r="K188" s="122"/>
    </row>
    <row r="189" spans="1:12" ht="13.15" hidden="1" customHeight="1">
      <c r="A189" s="34" t="str">
        <f>Benefits!B14</f>
        <v>Long-term Disability Insurance</v>
      </c>
      <c r="F189" s="116" t="str">
        <f>IF(ISBLANK(Benefits!F14),"___",(Benefits!F14))</f>
        <v>___</v>
      </c>
      <c r="G189" s="117" t="str">
        <f>IF(ISBLANK(Benefits!H14),"_____________",(Benefits!H14))</f>
        <v>_____________</v>
      </c>
      <c r="H189" s="23" t="str">
        <f>IF(ISBLANK(Benefits!I14),"_____________",(Benefits!I14))</f>
        <v>%</v>
      </c>
      <c r="I189" s="122"/>
      <c r="K189" s="122"/>
    </row>
    <row r="190" spans="1:12" ht="13.15" hidden="1" customHeight="1">
      <c r="A190" s="34" t="str">
        <f>Benefits!B15</f>
        <v>Short-term Disability Insurance</v>
      </c>
      <c r="F190" s="116" t="str">
        <f>IF(ISBLANK(Benefits!F15),"___",(Benefits!F15))</f>
        <v>___</v>
      </c>
      <c r="G190" s="117" t="str">
        <f>IF(ISBLANK(Benefits!H15),"_____________",(Benefits!H15))</f>
        <v>_____________</v>
      </c>
      <c r="H190" s="23" t="str">
        <f>IF(ISBLANK(Benefits!I15),"_____________",(Benefits!I15))</f>
        <v>%</v>
      </c>
      <c r="I190" s="122"/>
      <c r="K190" s="122"/>
    </row>
    <row r="191" spans="1:12" ht="13.15" hidden="1" customHeight="1">
      <c r="A191" s="34" t="str">
        <f>Benefits!B16</f>
        <v>Employee Assistance Program*</v>
      </c>
      <c r="F191" s="116" t="str">
        <f>IF(ISBLANK(Benefits!F16),"___",(Benefits!F16))</f>
        <v>___</v>
      </c>
      <c r="G191" s="117" t="str">
        <f>IF(ISBLANK(Benefits!H16),"_____________",(Benefits!H16))</f>
        <v>_____________</v>
      </c>
      <c r="H191" s="23" t="str">
        <f>IF(ISBLANK(Benefits!I16),"_____________",(Benefits!I16))</f>
        <v>%</v>
      </c>
      <c r="I191" s="122"/>
      <c r="K191" s="122"/>
    </row>
    <row r="192" spans="1:12" ht="13.15" hidden="1" customHeight="1">
      <c r="B192" s="33" t="str">
        <f>Benefits!B17</f>
        <v>*program to handle personal &amp; work related problems, i.e., drug dependency, mental health, financial, legal, etc.</v>
      </c>
    </row>
    <row r="193" spans="1:12" ht="12" customHeight="1">
      <c r="A193" s="32" t="str">
        <f>Benefits!A40</f>
        <v>11.</v>
      </c>
      <c r="B193" s="2" t="str">
        <f>Benefits!B40</f>
        <v>Retirement Income Plans</v>
      </c>
      <c r="K193" s="56" t="str">
        <f>Benefits!L40</f>
        <v>Indicate</v>
      </c>
    </row>
    <row r="194" spans="1:12" ht="12" customHeight="1">
      <c r="K194" s="56" t="str">
        <f>Benefits!L41</f>
        <v>If Offered</v>
      </c>
    </row>
    <row r="195" spans="1:12" ht="12" customHeight="1">
      <c r="K195" s="56" t="str">
        <f>Benefits!L43</f>
        <v>(Y/N)</v>
      </c>
    </row>
    <row r="196" spans="1:12" ht="12" customHeight="1">
      <c r="C196" t="str">
        <f>Benefits!C44</f>
        <v>Defined Benefit Plan (pension plan, involving a fixed level of benefits upon retirement)</v>
      </c>
      <c r="K196" s="116" t="str">
        <f>IF(ISBLANK(Benefits!L44),"___",(Benefits!L44))</f>
        <v>___</v>
      </c>
    </row>
    <row r="197" spans="1:12" ht="12" customHeight="1">
      <c r="C197" t="str">
        <f>Benefits!C45</f>
        <v>SEP-IRA/SIMPLE IRA</v>
      </c>
      <c r="K197" s="116" t="str">
        <f>IF(ISBLANK(Benefits!L45),"___",(Benefits!L45))</f>
        <v>___</v>
      </c>
    </row>
    <row r="198" spans="1:12" ht="12" customHeight="1">
      <c r="C198" t="str">
        <f>Benefits!C46</f>
        <v>Profit Sharing Plan (fluctuating employer contribution)</v>
      </c>
      <c r="K198" s="116" t="str">
        <f>IF(ISBLANK(Benefits!L46),"___",(Benefits!L46))</f>
        <v>___</v>
      </c>
    </row>
    <row r="199" spans="1:12" ht="12" customHeight="1">
      <c r="C199" t="str">
        <f>Benefits!C47</f>
        <v>Money Purchase Plan (fixed employer contribution)</v>
      </c>
      <c r="K199" s="116" t="str">
        <f>IF(ISBLANK(Benefits!L47),"___",(Benefits!L47))</f>
        <v>___</v>
      </c>
    </row>
    <row r="200" spans="1:12" ht="12" customHeight="1">
      <c r="C200" t="str">
        <f>Benefits!C48</f>
        <v xml:space="preserve">401(k) (with or without employer match) </v>
      </c>
      <c r="K200" s="116" t="str">
        <f>IF(ISBLANK(Benefits!L48),"___",(Benefits!L48))</f>
        <v>___</v>
      </c>
    </row>
    <row r="201" spans="1:12" ht="12" customHeight="1">
      <c r="C201" t="str">
        <f>Benefits!C49</f>
        <v>Does the company contribute to the employee’s 401(k) )?</v>
      </c>
      <c r="K201" s="116" t="str">
        <f>IF(ISBLANK(Benefits!L49),"___",(Benefits!L49))</f>
        <v>___</v>
      </c>
    </row>
    <row r="202" spans="1:12" ht="12" customHeight="1">
      <c r="C202" t="str">
        <f>Benefits!C50</f>
        <v>If employer matches 401(k), what $ amount is contributed for each $1 the employee contributes?</v>
      </c>
      <c r="G202" s="12"/>
      <c r="J202" s="123"/>
      <c r="K202" s="59" t="str">
        <f>IF(ISBLANK(Benefits!L50),"_______",(Benefits!L50))</f>
        <v>_______</v>
      </c>
    </row>
    <row r="203" spans="1:12" ht="12" customHeight="1">
      <c r="C203" t="str">
        <f>Benefits!C51</f>
        <v>If contributions are limited to a percentage (%) of an employee’s pay, what is the limit?</v>
      </c>
      <c r="H203" s="32"/>
      <c r="I203" s="19"/>
      <c r="J203" s="124"/>
      <c r="K203" s="117" t="str">
        <f>IF(ISBLANK(Benefits!L51),"_______",(Benefits!L51))</f>
        <v>_______</v>
      </c>
      <c r="L203" t="s">
        <v>21</v>
      </c>
    </row>
    <row r="204" spans="1:12" ht="12" customHeight="1">
      <c r="A204" s="32" t="str">
        <f>Benefits!A52</f>
        <v>12.</v>
      </c>
      <c r="B204" s="2" t="str">
        <f>Benefits!B52</f>
        <v xml:space="preserve">Other Employee Benefits </v>
      </c>
      <c r="K204" s="56" t="str">
        <f>Benefits!L52</f>
        <v>Indicate</v>
      </c>
    </row>
    <row r="205" spans="1:12" ht="12" customHeight="1">
      <c r="B205" s="56"/>
      <c r="K205" s="56" t="str">
        <f>Benefits!L53</f>
        <v>If Offered</v>
      </c>
    </row>
    <row r="206" spans="1:12" ht="12" customHeight="1">
      <c r="B206" s="56"/>
      <c r="K206" s="56" t="str">
        <f>Benefits!L54</f>
        <v>(Y/N)</v>
      </c>
    </row>
    <row r="207" spans="1:12" ht="12" customHeight="1">
      <c r="C207" t="str">
        <f>Benefits!C55</f>
        <v>Pre-tax spending accounts for medical or dental expenses</v>
      </c>
      <c r="K207" s="116" t="str">
        <f>IF(ISBLANK(Benefits!L55),"___",(Benefits!L55))</f>
        <v>___</v>
      </c>
    </row>
    <row r="208" spans="1:12" ht="12" customHeight="1">
      <c r="C208" t="str">
        <f>Benefits!C56</f>
        <v>Pre-tax spending accounts for dependent care expenses</v>
      </c>
      <c r="K208" s="116" t="str">
        <f>IF(ISBLANK(Benefits!L56),"___",(Benefits!L56))</f>
        <v>___</v>
      </c>
    </row>
    <row r="209" spans="1:11" ht="12" customHeight="1">
      <c r="C209" t="str">
        <f>Benefits!C57</f>
        <v>Educational assistance for employees</v>
      </c>
      <c r="K209" s="116" t="str">
        <f>IF(ISBLANK(Benefits!L57),"___",(Benefits!L57))</f>
        <v>___</v>
      </c>
    </row>
    <row r="210" spans="1:11" ht="12" customHeight="1">
      <c r="C210" t="str">
        <f>Benefits!C58</f>
        <v>Pre-retirement counseling</v>
      </c>
      <c r="K210" s="116" t="str">
        <f>IF(ISBLANK(Benefits!L58),"___",(Benefits!L58))</f>
        <v>___</v>
      </c>
    </row>
    <row r="211" spans="1:11" ht="12" customHeight="1">
      <c r="C211" t="str">
        <f>Benefits!C59</f>
        <v>Annual computerized benefits statement</v>
      </c>
      <c r="K211" s="116" t="str">
        <f>IF(ISBLANK(Benefits!L59),"___",(Benefits!L59))</f>
        <v>___</v>
      </c>
    </row>
    <row r="212" spans="1:11" ht="13.15" hidden="1" customHeight="1">
      <c r="B212" s="116" t="str">
        <f>IF(ISBLANK(Benefits!B60),"___",(Benefits!B60))</f>
        <v>___</v>
      </c>
      <c r="C212" t="str">
        <f>Benefits!C60</f>
        <v>Child care (allowance or facilities)</v>
      </c>
    </row>
    <row r="213" spans="1:11" ht="13.15" hidden="1" customHeight="1">
      <c r="B213" s="116" t="str">
        <f>IF(ISBLANK(Benefits!B61),"___",(Benefits!B61))</f>
        <v>___</v>
      </c>
      <c r="C213" t="str">
        <f>Benefits!C61</f>
        <v>Paid parental leave (maternity/paternity, adoption leave)</v>
      </c>
    </row>
    <row r="214" spans="1:11" ht="13.15" hidden="1" customHeight="1">
      <c r="A214" s="32" t="str">
        <f>Benefits!A63</f>
        <v>25.</v>
      </c>
      <c r="B214" t="str">
        <f>Benefits!B63</f>
        <v>What, if anything, does your company give to its full-time employees at Christmas or year-end?</v>
      </c>
    </row>
    <row r="215" spans="1:11" hidden="1">
      <c r="B215" s="56" t="str">
        <f>Benefits!B64</f>
        <v>Indicate</v>
      </c>
    </row>
    <row r="216" spans="1:11" hidden="1">
      <c r="B216" s="56" t="str">
        <f>Benefits!B65</f>
        <v>If Offered</v>
      </c>
    </row>
    <row r="217" spans="1:11" hidden="1">
      <c r="B217" s="56" t="str">
        <f>Benefits!B66</f>
        <v>(Y/N)</v>
      </c>
    </row>
    <row r="218" spans="1:11" hidden="1">
      <c r="B218" s="116" t="str">
        <f>IF(ISBLANK(Benefits!B67),"___",(Benefits!B67))</f>
        <v>___</v>
      </c>
      <c r="C218" t="str">
        <f>Benefits!C67</f>
        <v>Cash (nominal amount, not annual bonus)</v>
      </c>
    </row>
    <row r="219" spans="1:11" hidden="1">
      <c r="B219" s="116" t="str">
        <f>IF(ISBLANK(Benefits!B68),"___",(Benefits!B68))</f>
        <v>___</v>
      </c>
      <c r="C219" t="str">
        <f>Benefits!C68</f>
        <v>Gift (including gift certificates, food items, etc.)</v>
      </c>
    </row>
    <row r="220" spans="1:11" hidden="1">
      <c r="B220" s="116" t="str">
        <f>IF(ISBLANK(Benefits!B69),"___",(Benefits!B69))</f>
        <v>___</v>
      </c>
      <c r="C220" t="str">
        <f>Benefits!C69</f>
        <v>Party</v>
      </c>
    </row>
    <row r="221" spans="1:11" hidden="1">
      <c r="B221" s="116" t="str">
        <f>IF(ISBLANK(Benefits!B70),"___",(Benefits!B70))</f>
        <v>___</v>
      </c>
      <c r="C221" t="str">
        <f>Benefits!C70</f>
        <v>Year-end Bonus (not tied to profits)</v>
      </c>
    </row>
    <row r="222" spans="1:11" ht="12" customHeight="1">
      <c r="A222" s="32" t="str">
        <f>Benefits!A71</f>
        <v>13.</v>
      </c>
      <c r="B222" t="str">
        <f>Benefits!B71</f>
        <v>Do you have a Personal Time Off (PTO) program?(combine vacation, sick, personal leave)</v>
      </c>
      <c r="J222" s="36" t="str">
        <f>IF(ISBLANK(Benefits!L71),(Benefits!K71),"")</f>
        <v>Enter Y/N</v>
      </c>
      <c r="K222" s="116" t="str">
        <f>IF(ISBLANK(Benefits!L71),"______",(Benefits!L71))</f>
        <v>______</v>
      </c>
    </row>
    <row r="223" spans="1:11" ht="12" customHeight="1">
      <c r="A223" s="32" t="str">
        <f>Benefits!A73</f>
        <v>14.</v>
      </c>
      <c r="B223" t="str">
        <f>Benefits!B73</f>
        <v>Vacation Policy – Employees are eligible for</v>
      </c>
    </row>
    <row r="224" spans="1:11" ht="12" customHeight="1">
      <c r="B224" t="str">
        <f>Benefits!C74</f>
        <v>1 week   paid time off after how many years of service?</v>
      </c>
      <c r="K224" s="58" t="str">
        <f>IF(ISBLANK(Benefits!L74),"________",(Benefits!L74))</f>
        <v>________</v>
      </c>
    </row>
    <row r="225" spans="1:12" ht="12" customHeight="1">
      <c r="B225" t="str">
        <f>Benefits!C75</f>
        <v>2 weeks paid time off after how many years of service?</v>
      </c>
      <c r="K225" s="116" t="str">
        <f>IF(ISBLANK(Benefits!L75),"________",(Benefits!L75))</f>
        <v>________</v>
      </c>
    </row>
    <row r="226" spans="1:12" ht="12" customHeight="1">
      <c r="B226" t="str">
        <f>Benefits!C76</f>
        <v>3 weeks paid time off after how many years of service?</v>
      </c>
      <c r="K226" s="116" t="str">
        <f>IF(ISBLANK(Benefits!L76),"________",(Benefits!L76))</f>
        <v>________</v>
      </c>
    </row>
    <row r="227" spans="1:12" ht="12" customHeight="1">
      <c r="B227" t="str">
        <f>Benefits!C77</f>
        <v>4 weeks paid time off after how many years of service?</v>
      </c>
      <c r="K227" s="116" t="str">
        <f>IF(ISBLANK(Benefits!L77),"________",(Benefits!L77))</f>
        <v>________</v>
      </c>
    </row>
    <row r="228" spans="1:12" ht="12" customHeight="1">
      <c r="B228" t="str">
        <f>Benefits!C78</f>
        <v>5 weeks paid time off after how many years of service?</v>
      </c>
      <c r="K228" s="116" t="str">
        <f>IF(ISBLANK(Benefits!L78),"________",(Benefits!L78))</f>
        <v>________</v>
      </c>
    </row>
    <row r="229" spans="1:12" ht="12" customHeight="1">
      <c r="A229" s="32" t="str">
        <f>Benefits!A79</f>
        <v>15.</v>
      </c>
      <c r="B229" t="str">
        <f>Benefits!B79</f>
        <v xml:space="preserve">May employees carry over paid time off (vacation) into the following year(s)? </v>
      </c>
      <c r="I229" s="116"/>
    </row>
    <row r="230" spans="1:12" ht="12" customHeight="1">
      <c r="H230" s="15" t="str">
        <f>Benefits!I80</f>
        <v>0=No, 1=Yes, 2=Yes but management approval required</v>
      </c>
      <c r="J230" s="219" t="str">
        <f>IF(ISBLANK(Benefits!L80),(Benefits!K80),"")</f>
        <v>Enter 0, 1 or 2</v>
      </c>
      <c r="K230" s="116" t="str">
        <f>IF(ISBLANK(Benefits!L80),"______",(Benefits!L80))</f>
        <v>______</v>
      </c>
    </row>
    <row r="231" spans="1:12" ht="12" customHeight="1">
      <c r="A231" s="32" t="str">
        <f>Benefits!A81</f>
        <v>16.</v>
      </c>
      <c r="B231" t="str">
        <f>Benefits!B81</f>
        <v>Are employees paid for unused paid time off (vacation) accumulated?</v>
      </c>
      <c r="J231" s="35" t="str">
        <f>IF(ISBLANK(Benefits!L81),(Benefits!K81),"")</f>
        <v>Enter Y/N</v>
      </c>
      <c r="K231" s="116" t="str">
        <f>IF(ISBLANK(Benefits!L81),"______",(Benefits!L81))</f>
        <v>______</v>
      </c>
    </row>
    <row r="232" spans="1:12" ht="12" customHeight="1">
      <c r="A232" s="32" t="str">
        <f>Benefits!A82</f>
        <v>17.</v>
      </c>
      <c r="B232" t="str">
        <f>Benefits!B82</f>
        <v>How many paid holidays do you allow employees per year?</v>
      </c>
      <c r="J232" s="141"/>
      <c r="K232" s="116" t="str">
        <f>IF(ISBLANK(Benefits!L82),"______",(Benefits!L82))</f>
        <v>______</v>
      </c>
      <c r="L232" t="s">
        <v>130</v>
      </c>
    </row>
    <row r="233" spans="1:12" ht="13.15" hidden="1" customHeight="1">
      <c r="A233" s="32" t="str">
        <f>Benefits!A83</f>
        <v>31.</v>
      </c>
      <c r="B233" t="str">
        <f>Benefits!B83</f>
        <v>Which holidays do you observe? (Holidays your company is closed for business, paid or unpaid)</v>
      </c>
      <c r="K233" s="12"/>
    </row>
    <row r="234" spans="1:12" hidden="1">
      <c r="B234" s="56" t="str">
        <f>Benefits!B84</f>
        <v>(Y/N)</v>
      </c>
      <c r="C234" s="53"/>
      <c r="D234" s="53"/>
      <c r="E234" s="53"/>
      <c r="F234" s="56" t="str">
        <f>Benefits!F84</f>
        <v>(Y/N)</v>
      </c>
      <c r="G234" s="53"/>
      <c r="H234" s="53"/>
      <c r="J234" s="56" t="str">
        <f>Benefits!K84</f>
        <v>(Y/N)</v>
      </c>
      <c r="K234" s="218"/>
    </row>
    <row r="235" spans="1:12" hidden="1">
      <c r="B235" s="116" t="str">
        <f>IF(ISBLANK(Benefits!B85),"___",(Benefits!B85))</f>
        <v>___</v>
      </c>
      <c r="C235" t="str">
        <f>Benefits!C85</f>
        <v>New Year's Eve</v>
      </c>
      <c r="F235" s="116" t="str">
        <f>IF(ISBLANK(Benefits!F85),"___",(Benefits!F85))</f>
        <v>___</v>
      </c>
      <c r="G235" t="str">
        <f>Benefits!H85</f>
        <v>4th of July/Independence Day</v>
      </c>
      <c r="J235" s="116" t="str">
        <f>IF(ISBLANK(Benefits!K85),"___",(Benefits!K85))</f>
        <v>___</v>
      </c>
      <c r="K235" s="12"/>
    </row>
    <row r="236" spans="1:12" hidden="1">
      <c r="B236" s="116" t="str">
        <f>IF(ISBLANK(Benefits!B86),"___",(Benefits!B86))</f>
        <v>___</v>
      </c>
      <c r="C236" t="str">
        <f>Benefits!C86</f>
        <v>New Year's Day</v>
      </c>
      <c r="F236" s="116" t="str">
        <f>IF(ISBLANK(Benefits!F86),"___",(Benefits!F86))</f>
        <v>___</v>
      </c>
      <c r="G236" t="str">
        <f>Benefits!H86</f>
        <v>Labor Day</v>
      </c>
      <c r="J236" s="116" t="str">
        <f>IF(ISBLANK(Benefits!K86),"___",(Benefits!K86))</f>
        <v>___</v>
      </c>
      <c r="K236" s="12"/>
    </row>
    <row r="237" spans="1:12" hidden="1">
      <c r="B237" s="116" t="str">
        <f>IF(ISBLANK(Benefits!B87),"___",(Benefits!B87))</f>
        <v>___</v>
      </c>
      <c r="C237" t="str">
        <f>Benefits!C87</f>
        <v>Martin Luther King's Birthday</v>
      </c>
      <c r="F237" s="116" t="str">
        <f>IF(ISBLANK(Benefits!F87),"___",(Benefits!F87))</f>
        <v>___</v>
      </c>
      <c r="G237" t="str">
        <f>Benefits!H87</f>
        <v>Veteran's Day</v>
      </c>
      <c r="J237" s="116" t="str">
        <f>IF(ISBLANK(Benefits!K87),"___",(Benefits!K87))</f>
        <v>___</v>
      </c>
      <c r="K237" s="12"/>
    </row>
    <row r="238" spans="1:12" hidden="1">
      <c r="B238" s="116" t="str">
        <f>IF(ISBLANK(Benefits!B88),"___",(Benefits!B88))</f>
        <v>___</v>
      </c>
      <c r="C238" t="str">
        <f>Benefits!C88</f>
        <v>President’s Day</v>
      </c>
      <c r="F238" s="116" t="str">
        <f>IF(ISBLANK(Benefits!F88),"___",(Benefits!F88))</f>
        <v>___</v>
      </c>
      <c r="G238" t="str">
        <f>Benefits!H88</f>
        <v>Thanksgiving Day</v>
      </c>
      <c r="J238" s="116" t="str">
        <f>IF(ISBLANK(Benefits!K88),"___",(Benefits!K88))</f>
        <v>___</v>
      </c>
      <c r="K238" s="12"/>
    </row>
    <row r="239" spans="1:12" hidden="1">
      <c r="B239" s="116" t="str">
        <f>IF(ISBLANK(Benefits!B89),"___",(Benefits!B89))</f>
        <v>___</v>
      </c>
      <c r="C239" t="str">
        <f>Benefits!C89</f>
        <v>Good Friday</v>
      </c>
      <c r="F239" s="116" t="str">
        <f>IF(ISBLANK(Benefits!F89),"___",(Benefits!F89))</f>
        <v>___</v>
      </c>
      <c r="G239" t="str">
        <f>Benefits!H89</f>
        <v>Day after Thanksgiving</v>
      </c>
      <c r="J239" s="116" t="str">
        <f>IF(ISBLANK(Benefits!K89),"___",(Benefits!K89))</f>
        <v>___</v>
      </c>
      <c r="K239" s="12"/>
    </row>
    <row r="240" spans="1:12" hidden="1">
      <c r="B240" s="116" t="str">
        <f>IF(ISBLANK(Benefits!B90),"___",(Benefits!B90))</f>
        <v>___</v>
      </c>
      <c r="C240" t="str">
        <f>Benefits!C90</f>
        <v>Memorial Day</v>
      </c>
      <c r="K240" s="12"/>
    </row>
    <row r="241" spans="1:12" hidden="1">
      <c r="A241" s="32" t="str">
        <f>Benefits!A92</f>
        <v>32.</v>
      </c>
      <c r="B241" t="str">
        <f>Benefits!B92</f>
        <v xml:space="preserve">To be eligible for holiday pay, an hourly employee must work </v>
      </c>
      <c r="J241" s="36" t="str">
        <f>IF(ISBLANK(Benefits!L92),(Benefits!K92),"")</f>
        <v>Enter 1-4</v>
      </c>
      <c r="K241" s="116" t="str">
        <f>IF(ISBLANK(Benefits!L92),"_____________",(Benefits!L92))</f>
        <v>_____________</v>
      </c>
    </row>
    <row r="242" spans="1:12" ht="13.15" hidden="1" customHeight="1">
      <c r="A242" s="32"/>
      <c r="B242" t="str">
        <f>Benefits!B93</f>
        <v>1= Both the day before and the day after the holiday</v>
      </c>
      <c r="K242" s="12"/>
    </row>
    <row r="243" spans="1:12" ht="13.15" hidden="1" customHeight="1">
      <c r="A243" s="32"/>
      <c r="B243" t="str">
        <f>Benefits!B94</f>
        <v xml:space="preserve">2= Either the day before or the day after </v>
      </c>
      <c r="K243" s="12"/>
    </row>
    <row r="244" spans="1:12" ht="13.15" hidden="1" customHeight="1">
      <c r="A244" s="32"/>
      <c r="B244" t="str">
        <f>Benefits!B95</f>
        <v>3= Neither the day before nor the day after, regardless of number of hours worked during the week</v>
      </c>
      <c r="K244" s="12"/>
    </row>
    <row r="245" spans="1:12" ht="13.15" hidden="1" customHeight="1">
      <c r="A245" s="32"/>
      <c r="B245" t="str">
        <f>Benefits!B96</f>
        <v>4= No established policy</v>
      </c>
      <c r="K245" s="12"/>
    </row>
    <row r="246" spans="1:12" ht="12" customHeight="1">
      <c r="A246" s="32" t="str">
        <f>Benefits!A97</f>
        <v>18.</v>
      </c>
      <c r="B246" t="str">
        <f>Benefits!B97</f>
        <v>Do you offer sick/personal days with pay for production employees?</v>
      </c>
      <c r="J246" s="35" t="str">
        <f>IF(ISBLANK(Benefits!L97),(Benefits!K97),"")</f>
        <v>Enter Y/N</v>
      </c>
      <c r="K246" s="116" t="str">
        <f>IF(ISBLANK(Benefits!L97),"______",(Benefits!L97))</f>
        <v>______</v>
      </c>
    </row>
    <row r="247" spans="1:12" ht="12" customHeight="1">
      <c r="A247" s="32" t="str">
        <f>Benefits!A98</f>
        <v>19.</v>
      </c>
      <c r="B247" t="str">
        <f>Benefits!B98</f>
        <v xml:space="preserve">If yes, how many sick days or personal days are allowed each year? </v>
      </c>
      <c r="J247" s="141"/>
      <c r="K247" s="116" t="str">
        <f>IF(ISBLANK(Benefits!L98),"______",(Benefits!L98))</f>
        <v>______</v>
      </c>
      <c r="L247" t="s">
        <v>130</v>
      </c>
    </row>
    <row r="248" spans="1:12" ht="13.15" hidden="1" customHeight="1">
      <c r="A248" s="32" t="str">
        <f>Benefits!A99</f>
        <v>35.</v>
      </c>
      <c r="B248" t="str">
        <f>Benefits!B99</f>
        <v>Does your company have an employee policy manual?</v>
      </c>
      <c r="I248" s="35" t="str">
        <f>IF(ISBLANK(Benefits!J99),"_____________",(Benefits!J99))</f>
        <v>_____________</v>
      </c>
      <c r="J248" s="36" t="str">
        <f>IF(ISBLANK(Benefits!J99),(Benefits!K99),"")</f>
        <v>Enter Y or N</v>
      </c>
    </row>
    <row r="249" spans="1:12" ht="13.15" hidden="1" customHeight="1">
      <c r="A249" s="32" t="str">
        <f>Benefits!A100</f>
        <v>36.</v>
      </c>
      <c r="B249" t="str">
        <f>Benefits!B100</f>
        <v>Are hourly production employees represented by a union?</v>
      </c>
      <c r="I249" s="35" t="str">
        <f>IF(ISBLANK(Benefits!J100),"_____________",(Benefits!J100))</f>
        <v>_____________</v>
      </c>
      <c r="J249" s="36" t="str">
        <f>IF(ISBLANK(Benefits!J100),(Benefits!K100),"")</f>
        <v>Enter Y or N</v>
      </c>
    </row>
    <row r="250" spans="1:12" ht="12" customHeight="1">
      <c r="A250" s="32"/>
      <c r="J250" s="33"/>
    </row>
    <row r="251" spans="1:12" ht="12" customHeight="1">
      <c r="A251" s="32"/>
      <c r="E251" s="5" t="s">
        <v>143</v>
      </c>
      <c r="I251" s="35"/>
      <c r="J251" s="33"/>
    </row>
    <row r="252" spans="1:12" ht="12" customHeight="1">
      <c r="A252" s="32"/>
      <c r="B252" s="2" t="s">
        <v>137</v>
      </c>
      <c r="F252" s="42" t="s">
        <v>206</v>
      </c>
    </row>
    <row r="253" spans="1:12" ht="12" customHeight="1">
      <c r="A253" s="32"/>
      <c r="B253" s="1" t="s">
        <v>810</v>
      </c>
    </row>
    <row r="254" spans="1:12" ht="12" customHeight="1"/>
    <row r="255" spans="1:12" ht="12" customHeight="1"/>
    <row r="256" spans="1:12" ht="12" customHeight="1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</sheetData>
  <sheetProtection algorithmName="SHA-512" hashValue="k6fRLCMbHrURGHonoQBOrKNbjFfl6A1vOXj1a186ZOJPsVTgN7sJtOLum+F/3YrDaLFkF3x/zIXODzfFcZwwUQ==" saltValue="kMe2YtkWEz/J93t/IowAaQ==" spinCount="100000" sheet="1" objects="1" scenarios="1"/>
  <mergeCells count="15">
    <mergeCell ref="K153:L153"/>
    <mergeCell ref="D28:H28"/>
    <mergeCell ref="G153:H153"/>
    <mergeCell ref="G154:H154"/>
    <mergeCell ref="I154:J154"/>
    <mergeCell ref="I153:J153"/>
    <mergeCell ref="D30:H30"/>
    <mergeCell ref="D25:H25"/>
    <mergeCell ref="D26:H26"/>
    <mergeCell ref="D29:H29"/>
    <mergeCell ref="D27:H27"/>
    <mergeCell ref="H3:J3"/>
    <mergeCell ref="D22:H22"/>
    <mergeCell ref="D23:H23"/>
    <mergeCell ref="D24:H24"/>
  </mergeCells>
  <phoneticPr fontId="12" type="noConversion"/>
  <hyperlinks>
    <hyperlink ref="F252" r:id="rId1" xr:uid="{00000000-0004-0000-0400-000000000000}"/>
    <hyperlink ref="B16" r:id="rId2" display="mailto:surveys@mackayresearchgroup.com" xr:uid="{00000000-0004-0000-0400-000001000000}"/>
    <hyperlink ref="G16" r:id="rId3" display="mailto:surveys@mackayresearchgroup.com" xr:uid="{00000000-0004-0000-0400-000002000000}"/>
  </hyperlinks>
  <pageMargins left="0.25" right="0.25" top="0.25" bottom="0.25" header="0.25" footer="0.25"/>
  <pageSetup orientation="portrait" r:id="rId4"/>
  <headerFooter alignWithMargins="0"/>
  <rowBreaks count="2" manualBreakCount="2">
    <brk id="46" max="12" man="1"/>
    <brk id="95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44"/>
  <sheetViews>
    <sheetView zoomScaleNormal="100" zoomScaleSheetLayoutView="100" workbookViewId="0">
      <selection activeCell="A533" sqref="A533:A544"/>
    </sheetView>
  </sheetViews>
  <sheetFormatPr defaultRowHeight="12.75"/>
  <cols>
    <col min="1" max="1" width="11.7109375" customWidth="1"/>
    <col min="2" max="3" width="12.7109375" customWidth="1"/>
    <col min="4" max="4" width="15.42578125" customWidth="1"/>
    <col min="5" max="5" width="26.7109375" customWidth="1"/>
    <col min="6" max="8" width="12.7109375" customWidth="1"/>
    <col min="9" max="9" width="6.42578125" customWidth="1"/>
    <col min="10" max="10" width="10" customWidth="1"/>
    <col min="11" max="11" width="13.7109375" customWidth="1"/>
    <col min="12" max="12" width="7.7109375" customWidth="1"/>
  </cols>
  <sheetData>
    <row r="1" spans="1:11">
      <c r="A1" s="5" t="s">
        <v>214</v>
      </c>
      <c r="B1" s="231">
        <v>2025</v>
      </c>
      <c r="C1" s="294" t="s">
        <v>12</v>
      </c>
      <c r="D1" s="294" t="s">
        <v>826</v>
      </c>
      <c r="E1" s="294" t="s">
        <v>827</v>
      </c>
      <c r="F1" s="295" t="s">
        <v>828</v>
      </c>
      <c r="G1" s="295" t="s">
        <v>829</v>
      </c>
      <c r="H1" s="295" t="s">
        <v>213</v>
      </c>
      <c r="I1" s="295" t="s">
        <v>211</v>
      </c>
      <c r="J1" s="296" t="s">
        <v>830</v>
      </c>
      <c r="K1" s="295" t="s">
        <v>831</v>
      </c>
    </row>
    <row r="2" spans="1:11">
      <c r="A2" t="s">
        <v>216</v>
      </c>
      <c r="B2" t="str">
        <f>IF(ISBLANK(ID),"b",(ID))</f>
        <v>b</v>
      </c>
      <c r="C2" s="107" t="str">
        <f>IF(ISBLANK(COMPANY),"b",(COMPANY))</f>
        <v>b</v>
      </c>
      <c r="D2" s="107" t="str">
        <f>IF(ISBLANK(NAME),"b",(NAME))</f>
        <v>b</v>
      </c>
      <c r="E2" s="107" t="str">
        <f>IF(ISBLANK(EMAIL),"b",(EMAIL))</f>
        <v>b</v>
      </c>
      <c r="F2" s="107" t="str">
        <f>IF(ISBLANK(ADDR1),"b",(ADDR1))</f>
        <v>b</v>
      </c>
      <c r="G2" s="107" t="str">
        <f>IF(ISBLANK(ADDR2),"b",(ADDR2))</f>
        <v>b</v>
      </c>
      <c r="H2" s="107" t="str">
        <f>IF(ISBLANK(CITY),"b",(CITY))</f>
        <v>b</v>
      </c>
      <c r="I2" s="107" t="str">
        <f>IF(ISBLANK(STATE),"b",(STATE))</f>
        <v>b</v>
      </c>
      <c r="J2" s="292" t="str">
        <f>IF(ISBLANK(ZIPCODE),"b",(ZIPCODE))</f>
        <v>b</v>
      </c>
      <c r="K2" s="293" t="str">
        <f>IF(ISBLANK(PHONE),"b",(PHONE))</f>
        <v>b</v>
      </c>
    </row>
    <row r="3" spans="1:11">
      <c r="A3" t="s">
        <v>215</v>
      </c>
      <c r="B3" s="231">
        <v>2025</v>
      </c>
      <c r="J3" s="33"/>
    </row>
    <row r="4" spans="1:11">
      <c r="A4" t="s">
        <v>217</v>
      </c>
      <c r="B4" s="107" t="s">
        <v>832</v>
      </c>
    </row>
    <row r="5" spans="1:11">
      <c r="A5" t="s">
        <v>352</v>
      </c>
      <c r="B5" s="107" t="s">
        <v>832</v>
      </c>
    </row>
    <row r="6" spans="1:11">
      <c r="A6" t="s">
        <v>353</v>
      </c>
      <c r="B6" s="107" t="s">
        <v>832</v>
      </c>
    </row>
    <row r="7" spans="1:11">
      <c r="A7" t="s">
        <v>354</v>
      </c>
      <c r="B7" s="107" t="s">
        <v>832</v>
      </c>
    </row>
    <row r="8" spans="1:11">
      <c r="A8" t="s">
        <v>355</v>
      </c>
      <c r="B8" s="107" t="s">
        <v>832</v>
      </c>
    </row>
    <row r="9" spans="1:11">
      <c r="A9" t="s">
        <v>356</v>
      </c>
      <c r="B9" s="107" t="s">
        <v>832</v>
      </c>
    </row>
    <row r="10" spans="1:11">
      <c r="A10" t="s">
        <v>218</v>
      </c>
      <c r="B10" s="66" t="str">
        <f>IF(ISBLANK(ZIPCODE),"b",(ZIPCODE))</f>
        <v>b</v>
      </c>
      <c r="D10" s="53"/>
      <c r="E10" s="53"/>
      <c r="F10" s="56"/>
      <c r="G10" s="53"/>
      <c r="H10" s="53"/>
      <c r="I10" s="53"/>
      <c r="J10" s="56"/>
    </row>
    <row r="11" spans="1:11">
      <c r="A11" t="s">
        <v>357</v>
      </c>
      <c r="B11" s="107" t="s">
        <v>832</v>
      </c>
      <c r="C11" s="53"/>
      <c r="D11" s="53"/>
      <c r="E11" s="53"/>
      <c r="F11" s="56"/>
      <c r="G11" s="53"/>
      <c r="H11" s="53"/>
      <c r="I11" s="53"/>
      <c r="J11" s="56"/>
    </row>
    <row r="12" spans="1:11">
      <c r="A12" s="2" t="s">
        <v>813</v>
      </c>
      <c r="B12" s="235" t="str">
        <f>IF(LOB=0,"b",LOB)</f>
        <v>b</v>
      </c>
      <c r="C12" s="165" t="s">
        <v>814</v>
      </c>
      <c r="D12" s="53"/>
      <c r="E12" s="53"/>
      <c r="F12" s="56"/>
      <c r="G12" s="53"/>
      <c r="H12" s="53"/>
      <c r="I12" s="53"/>
      <c r="J12" s="56"/>
    </row>
    <row r="13" spans="1:11" ht="13.5" thickBot="1">
      <c r="A13" s="65" t="s">
        <v>358</v>
      </c>
      <c r="B13" s="107" t="s">
        <v>832</v>
      </c>
      <c r="C13" s="53"/>
      <c r="D13" s="53"/>
      <c r="E13" s="53"/>
      <c r="F13" s="56"/>
      <c r="G13" s="53"/>
      <c r="H13" s="53"/>
      <c r="I13" s="53"/>
      <c r="J13" s="56"/>
    </row>
    <row r="14" spans="1:11">
      <c r="A14" t="s">
        <v>219</v>
      </c>
      <c r="B14" s="236">
        <f>IF(LOB=1,100,0)</f>
        <v>0</v>
      </c>
      <c r="D14" s="62"/>
      <c r="K14" s="34"/>
    </row>
    <row r="15" spans="1:11">
      <c r="A15" t="s">
        <v>220</v>
      </c>
      <c r="B15" s="236">
        <f>IF(LOB=2,100,0)</f>
        <v>0</v>
      </c>
      <c r="C15" s="63"/>
      <c r="D15" s="62"/>
      <c r="K15" s="34"/>
    </row>
    <row r="16" spans="1:11">
      <c r="A16" t="s">
        <v>221</v>
      </c>
      <c r="B16" s="236">
        <f>IF(LOB=3,100,0)</f>
        <v>0</v>
      </c>
      <c r="C16" s="63"/>
      <c r="D16" s="62"/>
      <c r="K16" s="34"/>
    </row>
    <row r="17" spans="1:11">
      <c r="A17" t="s">
        <v>222</v>
      </c>
      <c r="B17" s="236">
        <f>IF(LOB=4,100,0)</f>
        <v>0</v>
      </c>
      <c r="C17" s="63"/>
      <c r="D17" s="62"/>
      <c r="K17" s="34"/>
    </row>
    <row r="18" spans="1:11">
      <c r="A18" t="s">
        <v>223</v>
      </c>
      <c r="B18" s="236">
        <f>IF(LOB=5,100,0)</f>
        <v>0</v>
      </c>
      <c r="C18" s="63"/>
      <c r="D18" s="62"/>
      <c r="K18" s="34"/>
    </row>
    <row r="19" spans="1:11">
      <c r="A19" t="s">
        <v>224</v>
      </c>
      <c r="B19" s="236">
        <f>IF(LOB=6,100,0)</f>
        <v>0</v>
      </c>
      <c r="C19" s="63"/>
      <c r="D19" s="62"/>
    </row>
    <row r="20" spans="1:11">
      <c r="A20" t="s">
        <v>225</v>
      </c>
      <c r="B20" s="236">
        <f>IF(LOB=7,100,0)</f>
        <v>0</v>
      </c>
      <c r="C20" s="63"/>
      <c r="D20" s="62"/>
      <c r="J20" s="36"/>
    </row>
    <row r="21" spans="1:11">
      <c r="A21" t="s">
        <v>226</v>
      </c>
      <c r="B21" s="236">
        <f>IF(LOB=8,100,0)</f>
        <v>0</v>
      </c>
      <c r="C21" s="64"/>
    </row>
    <row r="22" spans="1:11" ht="13.5" thickBot="1">
      <c r="A22" s="142" t="s">
        <v>227</v>
      </c>
      <c r="B22" s="237" t="str">
        <f>IF(ISBLANK(NS),"b",(NS))</f>
        <v>b</v>
      </c>
    </row>
    <row r="23" spans="1:11">
      <c r="A23" t="s">
        <v>228</v>
      </c>
      <c r="B23" s="62" t="str">
        <f>IF(ISBLANK(BUDGET),"b",(BUDGET))</f>
        <v>b</v>
      </c>
    </row>
    <row r="24" spans="1:11">
      <c r="A24" t="s">
        <v>229</v>
      </c>
      <c r="B24" s="233" t="str">
        <f>IF(ISBLANK(BEGEMP),"b",BEGEMP)</f>
        <v>b</v>
      </c>
    </row>
    <row r="25" spans="1:11">
      <c r="A25" t="s">
        <v>230</v>
      </c>
      <c r="B25" s="233" t="str">
        <f>IF(ISBLANK(HIRE),"b",HIRE)</f>
        <v>b</v>
      </c>
      <c r="J25" s="36"/>
    </row>
    <row r="26" spans="1:11">
      <c r="A26" t="s">
        <v>231</v>
      </c>
      <c r="B26" s="233" t="str">
        <f>IF(ISBLANK(LEFT),"b",LEFT)</f>
        <v>b</v>
      </c>
      <c r="J26" s="33"/>
    </row>
    <row r="27" spans="1:11">
      <c r="A27" t="s">
        <v>232</v>
      </c>
      <c r="B27" s="62" t="str">
        <f>IF(ENDEMP&gt;0,ENDEMP,"B")</f>
        <v>B</v>
      </c>
      <c r="J27" s="36"/>
    </row>
    <row r="28" spans="1:11">
      <c r="A28" t="s">
        <v>233</v>
      </c>
      <c r="B28" s="16" t="str">
        <f>IF(ISBLANK(NFIRST),"b",(NFIRST))</f>
        <v>b</v>
      </c>
      <c r="J28" s="36"/>
    </row>
    <row r="29" spans="1:11">
      <c r="A29" t="s">
        <v>319</v>
      </c>
      <c r="B29" s="18" t="str">
        <f>IF(ISBLANK(LFIRST),B31,(LFIRST))</f>
        <v>b</v>
      </c>
      <c r="F29" s="5"/>
      <c r="I29" s="35"/>
      <c r="J29" s="33"/>
    </row>
    <row r="30" spans="1:11">
      <c r="A30" t="s">
        <v>320</v>
      </c>
      <c r="B30" s="18" t="str">
        <f>IF(ISBLANK(HFIRST),B31,(HFIRST))</f>
        <v>b</v>
      </c>
      <c r="F30" s="2"/>
      <c r="I30" s="35"/>
      <c r="J30" s="33"/>
    </row>
    <row r="31" spans="1:11">
      <c r="A31" t="s">
        <v>321</v>
      </c>
      <c r="B31" s="18" t="str">
        <f>IF(ISBLANK(AFIRST),"b",(AFIRST))</f>
        <v>b</v>
      </c>
    </row>
    <row r="32" spans="1:11">
      <c r="A32" t="s">
        <v>674</v>
      </c>
      <c r="B32" s="18" t="str">
        <f>IF(ISBLANK(LFIRSTB),B34,(LFIRSTB))</f>
        <v>b</v>
      </c>
    </row>
    <row r="33" spans="1:6">
      <c r="A33" t="s">
        <v>675</v>
      </c>
      <c r="B33" s="18" t="str">
        <f>IF(ISBLANK(HFIRSTB),B34,(HFIRSTB))</f>
        <v>b</v>
      </c>
    </row>
    <row r="34" spans="1:6">
      <c r="A34" t="s">
        <v>676</v>
      </c>
      <c r="B34" s="18" t="str">
        <f>IF(ISBLANK(AFIRSTB),"b",(AFIRSTB))</f>
        <v>b</v>
      </c>
    </row>
    <row r="35" spans="1:6">
      <c r="A35" t="s">
        <v>677</v>
      </c>
      <c r="B35" s="18" t="str">
        <f>IF(ISBLANK(LFIRSTC),B37,(LFIRSTC))</f>
        <v>b</v>
      </c>
    </row>
    <row r="36" spans="1:6">
      <c r="A36" t="s">
        <v>678</v>
      </c>
      <c r="B36" s="18" t="str">
        <f>IF(ISBLANK(HFIRSTC),B37,(HFIRSTC))</f>
        <v>b</v>
      </c>
    </row>
    <row r="37" spans="1:6">
      <c r="A37" t="s">
        <v>679</v>
      </c>
      <c r="B37" s="18" t="str">
        <f>IF(ISBLANK(AFIRSTC),"b",(AFIRSTC))</f>
        <v>b</v>
      </c>
    </row>
    <row r="38" spans="1:6">
      <c r="A38" s="72" t="s">
        <v>788</v>
      </c>
      <c r="B38" s="86" t="str">
        <f>IF((LFIRST+LFIRSTB+LFIRSTC)&gt;0,MIN(LFIRST,LFIRSTB,LFIRSTC),"B")</f>
        <v>B</v>
      </c>
    </row>
    <row r="39" spans="1:6">
      <c r="A39" s="72" t="s">
        <v>789</v>
      </c>
      <c r="B39" s="86" t="str">
        <f>IF((HFIRST+HFIRSTB+HFIRSTC)&gt;0,MAX(HFIRST,HFIRSTB,HFIRSTC),"B")</f>
        <v>B</v>
      </c>
    </row>
    <row r="40" spans="1:6">
      <c r="A40" s="72" t="s">
        <v>790</v>
      </c>
      <c r="B40" s="86" t="str">
        <f>IF((AFIRST+AFIRSTB+AFIRSTC)&gt;0,AVERAGE(AFIRST,AFIRSTB,AFIRSTC),"B")</f>
        <v>B</v>
      </c>
    </row>
    <row r="41" spans="1:6">
      <c r="A41" t="s">
        <v>347</v>
      </c>
      <c r="B41" s="16" t="str">
        <f>IF(ISBLANK(NSECOND),"b",(NSECOND))</f>
        <v>b</v>
      </c>
    </row>
    <row r="42" spans="1:6">
      <c r="A42" t="s">
        <v>322</v>
      </c>
      <c r="B42" s="18" t="str">
        <f>IF(ISBLANK(LSECOND),B44,(LSECOND))</f>
        <v>b</v>
      </c>
    </row>
    <row r="43" spans="1:6">
      <c r="A43" t="s">
        <v>323</v>
      </c>
      <c r="B43" s="18" t="str">
        <f>IF(ISBLANK(HSECOND),B44,(HSECOND))</f>
        <v>b</v>
      </c>
    </row>
    <row r="44" spans="1:6">
      <c r="A44" t="s">
        <v>324</v>
      </c>
      <c r="B44" s="18" t="str">
        <f>IF(ISBLANK(ASECOND),"b",(ASECOND))</f>
        <v>b</v>
      </c>
      <c r="F44" s="42"/>
    </row>
    <row r="45" spans="1:6">
      <c r="A45" t="s">
        <v>680</v>
      </c>
      <c r="B45" s="18" t="str">
        <f>IF(ISBLANK(LSECONDB),B47,(LSECONDB))</f>
        <v>b</v>
      </c>
      <c r="F45" s="42"/>
    </row>
    <row r="46" spans="1:6">
      <c r="A46" t="s">
        <v>681</v>
      </c>
      <c r="B46" s="18" t="str">
        <f>IF(ISBLANK(HSECONDB),B47,(HSECONDB))</f>
        <v>b</v>
      </c>
      <c r="F46" s="42"/>
    </row>
    <row r="47" spans="1:6">
      <c r="A47" t="s">
        <v>682</v>
      </c>
      <c r="B47" s="18" t="str">
        <f>IF(ISBLANK(ASECONDB),"b",(ASECONDB))</f>
        <v>b</v>
      </c>
      <c r="F47" s="42"/>
    </row>
    <row r="48" spans="1:6">
      <c r="A48" t="s">
        <v>683</v>
      </c>
      <c r="B48" s="18" t="str">
        <f>IF(ISBLANK(LSECONDC),B50,(LSECONDC))</f>
        <v>b</v>
      </c>
      <c r="F48" s="42"/>
    </row>
    <row r="49" spans="1:6">
      <c r="A49" t="s">
        <v>684</v>
      </c>
      <c r="B49" s="18" t="str">
        <f>IF(ISBLANK(HSECONDC),B50,(HSECONDC))</f>
        <v>b</v>
      </c>
      <c r="F49" s="42"/>
    </row>
    <row r="50" spans="1:6">
      <c r="A50" t="s">
        <v>685</v>
      </c>
      <c r="B50" s="18" t="str">
        <f>IF(ISBLANK(ASECONDC),"b",(ASECONDC))</f>
        <v>b</v>
      </c>
      <c r="F50" s="42"/>
    </row>
    <row r="51" spans="1:6">
      <c r="A51" s="72" t="s">
        <v>791</v>
      </c>
      <c r="B51" s="86" t="str">
        <f>IF((LSECOND+LSECONDB+LSECONDC)&gt;0,MIN(LSECOND,LSECONDB,LSECONDC),"B")</f>
        <v>B</v>
      </c>
      <c r="F51" s="42"/>
    </row>
    <row r="52" spans="1:6">
      <c r="A52" s="72" t="s">
        <v>792</v>
      </c>
      <c r="B52" s="86" t="str">
        <f>IF((HSECOND+HSECONDB+HSECONDC)&gt;0,MAX(HSECOND,HSECONDB,HSECONDC),"B")</f>
        <v>B</v>
      </c>
      <c r="F52" s="42"/>
    </row>
    <row r="53" spans="1:6">
      <c r="A53" s="72" t="s">
        <v>793</v>
      </c>
      <c r="B53" s="86" t="str">
        <f>IF((ASECOND+ASECONDB+ASECONDC)&gt;0,AVERAGE(ASECOND,ASECONDB,ASECONDC),"B")</f>
        <v>B</v>
      </c>
      <c r="F53" s="42"/>
    </row>
    <row r="54" spans="1:6">
      <c r="A54" t="s">
        <v>234</v>
      </c>
      <c r="B54" s="16" t="str">
        <f>IF(ISBLANK(NTHIRD),"b",(NTHIRD))</f>
        <v>b</v>
      </c>
    </row>
    <row r="55" spans="1:6">
      <c r="A55" t="s">
        <v>325</v>
      </c>
      <c r="B55" s="18" t="str">
        <f>IF(ISBLANK(LTHIRD),B57,(LTHIRD))</f>
        <v>b</v>
      </c>
    </row>
    <row r="56" spans="1:6">
      <c r="A56" t="s">
        <v>326</v>
      </c>
      <c r="B56" s="18" t="str">
        <f>IF(ISBLANK(HTHIRD),B57,(HTHIRD))</f>
        <v>b</v>
      </c>
    </row>
    <row r="57" spans="1:6">
      <c r="A57" t="s">
        <v>327</v>
      </c>
      <c r="B57" s="18" t="str">
        <f>IF(ISBLANK(ATHIRD),"b",(ATHIRD))</f>
        <v>b</v>
      </c>
    </row>
    <row r="58" spans="1:6">
      <c r="A58" t="s">
        <v>686</v>
      </c>
      <c r="B58" s="18" t="str">
        <f>IF(ISBLANK(LTHIRDB),B60,(LTHIRDB))</f>
        <v>b</v>
      </c>
    </row>
    <row r="59" spans="1:6">
      <c r="A59" t="s">
        <v>687</v>
      </c>
      <c r="B59" s="18" t="str">
        <f>IF(ISBLANK(HTHIRDB),B60,(HTHIRDB))</f>
        <v>b</v>
      </c>
    </row>
    <row r="60" spans="1:6">
      <c r="A60" t="s">
        <v>688</v>
      </c>
      <c r="B60" s="18" t="str">
        <f>IF(ISBLANK(ATHIRDB),"b",(ATHIRDB))</f>
        <v>b</v>
      </c>
    </row>
    <row r="61" spans="1:6">
      <c r="A61" t="s">
        <v>689</v>
      </c>
      <c r="B61" s="18" t="str">
        <f>IF(ISBLANK(LTHIRDC),B63,(LTHIRDC))</f>
        <v>b</v>
      </c>
    </row>
    <row r="62" spans="1:6">
      <c r="A62" t="s">
        <v>690</v>
      </c>
      <c r="B62" s="18" t="str">
        <f>IF(ISBLANK(HTHIRDC),B63,(HTHIRDC))</f>
        <v>b</v>
      </c>
    </row>
    <row r="63" spans="1:6">
      <c r="A63" t="s">
        <v>691</v>
      </c>
      <c r="B63" s="18" t="str">
        <f>IF(ISBLANK(ATHIRDC),"b",(ATHIRDC))</f>
        <v>b</v>
      </c>
    </row>
    <row r="64" spans="1:6">
      <c r="A64" s="72" t="s">
        <v>794</v>
      </c>
      <c r="B64" s="86" t="str">
        <f>IF((LTHIRD+LTHIRDB+LTHIRDC)&gt;0,MIN(LTHIRD,LTHIRDB,LTHIRDC),"B")</f>
        <v>B</v>
      </c>
    </row>
    <row r="65" spans="1:2">
      <c r="A65" s="72" t="s">
        <v>795</v>
      </c>
      <c r="B65" s="86" t="str">
        <f>IF((HTHIRD+HTHIRDB+HTHIRDC)&gt;0,MAX(HTHIRD,HTHIRDB,HTHIRDC),"B")</f>
        <v>B</v>
      </c>
    </row>
    <row r="66" spans="1:2">
      <c r="A66" s="72" t="s">
        <v>796</v>
      </c>
      <c r="B66" s="86" t="str">
        <f>IF((ATHIRD+ATHIRDB+ATHIRDC)&gt;0,AVERAGE(ATHIRD,ATHIRDB,ATHIRDC),"B")</f>
        <v>B</v>
      </c>
    </row>
    <row r="67" spans="1:2">
      <c r="A67" t="s">
        <v>235</v>
      </c>
      <c r="B67" s="16" t="str">
        <f>IF(ISBLANK(NFOURTH),"b",(NFOURTH))</f>
        <v>b</v>
      </c>
    </row>
    <row r="68" spans="1:2">
      <c r="A68" t="s">
        <v>344</v>
      </c>
      <c r="B68" s="18" t="str">
        <f>IF(ISBLANK(LFOURTH),B70,(LFOURTH))</f>
        <v>b</v>
      </c>
    </row>
    <row r="69" spans="1:2">
      <c r="A69" t="s">
        <v>345</v>
      </c>
      <c r="B69" s="18" t="str">
        <f>IF(ISBLANK(HFOURTH),B70,(HFOURTH))</f>
        <v>b</v>
      </c>
    </row>
    <row r="70" spans="1:2">
      <c r="A70" t="s">
        <v>346</v>
      </c>
      <c r="B70" s="18" t="str">
        <f>IF(ISBLANK(AFOURTH),"b",(AFOURTH))</f>
        <v>b</v>
      </c>
    </row>
    <row r="71" spans="1:2">
      <c r="A71" t="s">
        <v>692</v>
      </c>
      <c r="B71" s="18" t="str">
        <f>IF(ISBLANK(LFOURTHB),B73,(LFOURTHB))</f>
        <v>b</v>
      </c>
    </row>
    <row r="72" spans="1:2">
      <c r="A72" t="s">
        <v>693</v>
      </c>
      <c r="B72" s="18" t="str">
        <f>IF(ISBLANK(HFOURTHB),B73,(HFOURTHB))</f>
        <v>b</v>
      </c>
    </row>
    <row r="73" spans="1:2">
      <c r="A73" t="s">
        <v>694</v>
      </c>
      <c r="B73" s="18" t="str">
        <f>IF(ISBLANK(AFOURTHB),"b",(AFOURTHB))</f>
        <v>b</v>
      </c>
    </row>
    <row r="74" spans="1:2">
      <c r="A74" t="s">
        <v>695</v>
      </c>
      <c r="B74" s="18" t="str">
        <f>IF(ISBLANK(LFOURTHC),B76,(LFOURTHC))</f>
        <v>b</v>
      </c>
    </row>
    <row r="75" spans="1:2">
      <c r="A75" t="s">
        <v>696</v>
      </c>
      <c r="B75" s="18" t="str">
        <f>IF(ISBLANK(HFOURTHC),B76,(HFOURTHC))</f>
        <v>b</v>
      </c>
    </row>
    <row r="76" spans="1:2">
      <c r="A76" t="s">
        <v>697</v>
      </c>
      <c r="B76" s="18" t="str">
        <f>IF(ISBLANK(AFOURTHC),"b",(AFOURTHC))</f>
        <v>b</v>
      </c>
    </row>
    <row r="77" spans="1:2">
      <c r="A77" s="72" t="s">
        <v>797</v>
      </c>
      <c r="B77" s="86" t="str">
        <f>IF((LFOURTH+LFOURTHB+LFOURTHC)&gt;0,MIN(LFOURTH,LFOURTHB,LFOURTHC),"B")</f>
        <v>B</v>
      </c>
    </row>
    <row r="78" spans="1:2">
      <c r="A78" s="72" t="s">
        <v>798</v>
      </c>
      <c r="B78" s="86" t="str">
        <f>IF((HFOURTH+HFOURTHB+HFOURTHC)&gt;0,MAX(HFOURTH,HFOURTHB,HFOURTHC),"B")</f>
        <v>B</v>
      </c>
    </row>
    <row r="79" spans="1:2" ht="13.5" thickBot="1">
      <c r="A79" s="72" t="s">
        <v>799</v>
      </c>
      <c r="B79" s="86" t="str">
        <f>IF((AFOURTH+AFOURTHB+AFOURTHC)&gt;0,AVERAGE(AFOURTH,AFOURTHB,AFOURTHC),"B")</f>
        <v>B</v>
      </c>
    </row>
    <row r="80" spans="1:2">
      <c r="A80" s="103" t="s">
        <v>239</v>
      </c>
      <c r="B80" s="175" t="str">
        <f>IF(ISBLANK(NALL),"b",(NALL))</f>
        <v>b</v>
      </c>
    </row>
    <row r="81" spans="1:2">
      <c r="A81" t="s">
        <v>418</v>
      </c>
      <c r="B81" s="18" t="str">
        <f>IF(ISBLANK(LALL),B83,(LALL))</f>
        <v>b</v>
      </c>
    </row>
    <row r="82" spans="1:2">
      <c r="A82" t="s">
        <v>419</v>
      </c>
      <c r="B82" s="18" t="str">
        <f>IF(ISBLANK(HALL),B83,(HALL))</f>
        <v>b</v>
      </c>
    </row>
    <row r="83" spans="1:2">
      <c r="A83" t="s">
        <v>331</v>
      </c>
      <c r="B83" s="18" t="str">
        <f>IF(ISBLANK(AALL),"b",(AALL))</f>
        <v>b</v>
      </c>
    </row>
    <row r="84" spans="1:2">
      <c r="A84" t="s">
        <v>412</v>
      </c>
      <c r="B84" s="18" t="str">
        <f>IF(ISBLANK(LALLB),B86,(LALLB))</f>
        <v>b</v>
      </c>
    </row>
    <row r="85" spans="1:2">
      <c r="A85" t="s">
        <v>413</v>
      </c>
      <c r="B85" s="18" t="str">
        <f>IF(ISBLANK(HALLB),B86,(HALLB))</f>
        <v>b</v>
      </c>
    </row>
    <row r="86" spans="1:2">
      <c r="A86" t="s">
        <v>414</v>
      </c>
      <c r="B86" s="18" t="str">
        <f>IF(ISBLANK(AALLB),"b",(AALLB))</f>
        <v>b</v>
      </c>
    </row>
    <row r="87" spans="1:2">
      <c r="A87" t="s">
        <v>415</v>
      </c>
      <c r="B87" s="18" t="str">
        <f>IF(ISBLANK(LALLC),B89,(LALLC))</f>
        <v>b</v>
      </c>
    </row>
    <row r="88" spans="1:2">
      <c r="A88" t="s">
        <v>416</v>
      </c>
      <c r="B88" s="18" t="str">
        <f>IF(ISBLANK(HALLC),B89,(HALLC))</f>
        <v>b</v>
      </c>
    </row>
    <row r="89" spans="1:2">
      <c r="A89" t="s">
        <v>417</v>
      </c>
      <c r="B89" s="18" t="str">
        <f>IF(ISBLANK(AALLC),"b",(AALLC))</f>
        <v>b</v>
      </c>
    </row>
    <row r="90" spans="1:2">
      <c r="A90" s="72" t="s">
        <v>698</v>
      </c>
      <c r="B90" s="86" t="str">
        <f>IF((LALL+LALLB+LALLC)&gt;0,MIN(LALL,LALLB,LALLC),"B")</f>
        <v>B</v>
      </c>
    </row>
    <row r="91" spans="1:2">
      <c r="A91" s="72" t="s">
        <v>699</v>
      </c>
      <c r="B91" s="86" t="str">
        <f>IF((HALL+HALLB+HALLC)&gt;0,MAX(HALL,HALLB,HALLC),"B")</f>
        <v>B</v>
      </c>
    </row>
    <row r="92" spans="1:2">
      <c r="A92" s="72" t="s">
        <v>700</v>
      </c>
      <c r="B92" s="86" t="str">
        <f>IF((AALL+AALLB+AALLC)&gt;0,AVERAGE(AALL,AALLB,AALLC),"B")</f>
        <v>B</v>
      </c>
    </row>
    <row r="93" spans="1:2">
      <c r="A93" t="s">
        <v>430</v>
      </c>
      <c r="B93" s="16" t="str">
        <f>IF(ISBLANK(NCNC),"b",(NCNC))</f>
        <v>b</v>
      </c>
    </row>
    <row r="94" spans="1:2">
      <c r="A94" t="s">
        <v>431</v>
      </c>
      <c r="B94" s="18" t="str">
        <f>IF(ISBLANK(LCNC),B96,(LCNC))</f>
        <v>b</v>
      </c>
    </row>
    <row r="95" spans="1:2">
      <c r="A95" t="s">
        <v>432</v>
      </c>
      <c r="B95" s="18" t="str">
        <f>IF(ISBLANK(HCNC),B96,(HCNC))</f>
        <v>b</v>
      </c>
    </row>
    <row r="96" spans="1:2">
      <c r="A96" t="s">
        <v>433</v>
      </c>
      <c r="B96" s="18" t="str">
        <f>IF(ISBLANK(ACNC),"b",(ACNC))</f>
        <v>b</v>
      </c>
    </row>
    <row r="97" spans="1:3">
      <c r="A97" s="229" t="s">
        <v>837</v>
      </c>
      <c r="B97" s="356" t="str">
        <f>IF(ISBLANK(NMACH),B99,(NMACH))</f>
        <v>b</v>
      </c>
      <c r="C97" s="358" t="s">
        <v>841</v>
      </c>
    </row>
    <row r="98" spans="1:3">
      <c r="A98" s="229" t="s">
        <v>838</v>
      </c>
      <c r="B98" s="357" t="str">
        <f>IF(ISBLANK(LMACH),B99,(LMACH))</f>
        <v>b</v>
      </c>
      <c r="C98" s="229"/>
    </row>
    <row r="99" spans="1:3">
      <c r="A99" s="229" t="s">
        <v>839</v>
      </c>
      <c r="B99" s="357" t="str">
        <f>IF(ISBLANK(HMACH),"b",(HMACH))</f>
        <v>b</v>
      </c>
      <c r="C99" s="229"/>
    </row>
    <row r="100" spans="1:3">
      <c r="A100" s="229" t="s">
        <v>840</v>
      </c>
      <c r="B100" s="357" t="str">
        <f>IF(ISBLANK(AMACH),B102,(AMACH))</f>
        <v>b</v>
      </c>
      <c r="C100" s="229"/>
    </row>
    <row r="101" spans="1:3">
      <c r="A101" t="s">
        <v>434</v>
      </c>
      <c r="B101" s="18" t="str">
        <f>IF(ISBLANK(HCNCC),B102,(HCNCC))</f>
        <v>b</v>
      </c>
    </row>
    <row r="102" spans="1:3">
      <c r="A102" t="s">
        <v>435</v>
      </c>
      <c r="B102" s="18" t="str">
        <f>IF(ISBLANK(ACNCC),"b",(ACNCC))</f>
        <v>b</v>
      </c>
    </row>
    <row r="103" spans="1:3">
      <c r="A103" s="72" t="s">
        <v>701</v>
      </c>
      <c r="B103" s="86" t="str">
        <f>IF((LCNC+LCNCB+LCNCC)&gt;0,MIN(LCNC,LCNCB,LCNCC),"B")</f>
        <v>B</v>
      </c>
    </row>
    <row r="104" spans="1:3">
      <c r="A104" s="72" t="s">
        <v>702</v>
      </c>
      <c r="B104" s="86" t="str">
        <f>IF((HCNC+HCNCB+HCNCC)&gt;0,MAX(HCNC,HCNCB,HCNCC),"B")</f>
        <v>B</v>
      </c>
    </row>
    <row r="105" spans="1:3">
      <c r="A105" s="72" t="s">
        <v>703</v>
      </c>
      <c r="B105" s="86" t="str">
        <f>IF((ACNC+ACNCB+ACNCC)&gt;0,AVERAGE(ACNC,ACNCB,ACNCC),"B")</f>
        <v>B</v>
      </c>
    </row>
    <row r="106" spans="1:3">
      <c r="A106" t="s">
        <v>444</v>
      </c>
      <c r="B106" s="16" t="str">
        <f>IF(ISBLANK(NHMC),"b",(NHMC))</f>
        <v>b</v>
      </c>
    </row>
    <row r="107" spans="1:3">
      <c r="A107" t="s">
        <v>455</v>
      </c>
      <c r="B107" s="18" t="str">
        <f>IF(ISBLANK(LHMC),B109,(LHMC))</f>
        <v>b</v>
      </c>
    </row>
    <row r="108" spans="1:3">
      <c r="A108" t="s">
        <v>456</v>
      </c>
      <c r="B108" s="18" t="str">
        <f>IF(ISBLANK(HHMC),B109,(HHMC))</f>
        <v>b</v>
      </c>
    </row>
    <row r="109" spans="1:3">
      <c r="A109" t="s">
        <v>457</v>
      </c>
      <c r="B109" s="18" t="str">
        <f>IF(ISBLANK(AHMC),"b",(AHMC))</f>
        <v>b</v>
      </c>
    </row>
    <row r="110" spans="1:3">
      <c r="A110" t="s">
        <v>458</v>
      </c>
      <c r="B110" s="18" t="str">
        <f>IF(ISBLANK(LHMCB),B112,(LHMCB))</f>
        <v>b</v>
      </c>
    </row>
    <row r="111" spans="1:3">
      <c r="A111" t="s">
        <v>459</v>
      </c>
      <c r="B111" s="18" t="str">
        <f>IF(ISBLANK(HHMCB),B112,(HHMCB))</f>
        <v>b</v>
      </c>
    </row>
    <row r="112" spans="1:3">
      <c r="A112" t="s">
        <v>460</v>
      </c>
      <c r="B112" s="18" t="str">
        <f>IF(ISBLANK(AHMCB),"b",(AHMCB))</f>
        <v>b</v>
      </c>
    </row>
    <row r="113" spans="1:2">
      <c r="A113" t="s">
        <v>461</v>
      </c>
      <c r="B113" s="18" t="str">
        <f>IF(ISBLANK(LHMCC),B115,(LHMCC))</f>
        <v>b</v>
      </c>
    </row>
    <row r="114" spans="1:2">
      <c r="A114" t="s">
        <v>462</v>
      </c>
      <c r="B114" s="18" t="str">
        <f>IF(ISBLANK(HHMCC),B115,(HHMCC))</f>
        <v>b</v>
      </c>
    </row>
    <row r="115" spans="1:2">
      <c r="A115" t="s">
        <v>463</v>
      </c>
      <c r="B115" s="18" t="str">
        <f>IF(ISBLANK(AHMCC),"b",(AHMCC))</f>
        <v>b</v>
      </c>
    </row>
    <row r="116" spans="1:2">
      <c r="A116" s="72" t="s">
        <v>704</v>
      </c>
      <c r="B116" s="86" t="str">
        <f>IF((LHMC+LHMCB+LHMCC)&gt;0,MIN(LHMC,LHMCB,LHMCC),"B")</f>
        <v>B</v>
      </c>
    </row>
    <row r="117" spans="1:2">
      <c r="A117" s="72" t="s">
        <v>705</v>
      </c>
      <c r="B117" s="86" t="str">
        <f>IF((HHMC+HHMCB+HHMCC)&gt;0,MAX(HHMC,HHMCB,HHMCC),"B")</f>
        <v>B</v>
      </c>
    </row>
    <row r="118" spans="1:2">
      <c r="A118" s="72" t="s">
        <v>706</v>
      </c>
      <c r="B118" s="86" t="str">
        <f>IF((AHMC+AHMCB+AHMCC)&gt;0,AVERAGE(AHMC,AHMCB,AHMCC),"B")</f>
        <v>B</v>
      </c>
    </row>
    <row r="119" spans="1:2">
      <c r="A119" t="s">
        <v>445</v>
      </c>
      <c r="B119" s="16" t="str">
        <f>IF(ISBLANK(NVMC),"b",(NVMC))</f>
        <v>b</v>
      </c>
    </row>
    <row r="120" spans="1:2">
      <c r="A120" t="s">
        <v>446</v>
      </c>
      <c r="B120" s="18" t="str">
        <f>IF(ISBLANK(LVMC),B122,(LVMC))</f>
        <v>b</v>
      </c>
    </row>
    <row r="121" spans="1:2">
      <c r="A121" t="s">
        <v>447</v>
      </c>
      <c r="B121" s="18" t="str">
        <f>IF(ISBLANK(HVMC),B122,(HVMC))</f>
        <v>b</v>
      </c>
    </row>
    <row r="122" spans="1:2">
      <c r="A122" t="s">
        <v>448</v>
      </c>
      <c r="B122" s="18" t="str">
        <f>IF(ISBLANK(AVMC),"b",(AVMC))</f>
        <v>b</v>
      </c>
    </row>
    <row r="123" spans="1:2">
      <c r="A123" t="s">
        <v>449</v>
      </c>
      <c r="B123" s="18" t="str">
        <f>IF(ISBLANK(LVMCB),B125,(LVMCB))</f>
        <v>b</v>
      </c>
    </row>
    <row r="124" spans="1:2">
      <c r="A124" t="s">
        <v>450</v>
      </c>
      <c r="B124" s="18" t="str">
        <f>IF(ISBLANK(HVMCB),B125,(HVMCB))</f>
        <v>b</v>
      </c>
    </row>
    <row r="125" spans="1:2">
      <c r="A125" t="s">
        <v>451</v>
      </c>
      <c r="B125" s="18" t="str">
        <f>IF(ISBLANK(AVMCB),"b",(AVMCB))</f>
        <v>b</v>
      </c>
    </row>
    <row r="126" spans="1:2">
      <c r="A126" t="s">
        <v>452</v>
      </c>
      <c r="B126" s="18" t="str">
        <f>IF(ISBLANK(LVMCC),B128,(LVMCC))</f>
        <v>b</v>
      </c>
    </row>
    <row r="127" spans="1:2">
      <c r="A127" t="s">
        <v>453</v>
      </c>
      <c r="B127" s="18" t="str">
        <f>IF(ISBLANK(HVMCC),B128,(HVMCC))</f>
        <v>b</v>
      </c>
    </row>
    <row r="128" spans="1:2">
      <c r="A128" t="s">
        <v>454</v>
      </c>
      <c r="B128" s="18" t="str">
        <f>IF(ISBLANK(AVMCC),"b",(AVMCC))</f>
        <v>b</v>
      </c>
    </row>
    <row r="129" spans="1:2">
      <c r="A129" s="72" t="s">
        <v>707</v>
      </c>
      <c r="B129" s="86" t="str">
        <f>IF((LVMC+LVMCB+LVMCC)&gt;0,MIN(LVMC,LVMCB,LVMCC),"B")</f>
        <v>B</v>
      </c>
    </row>
    <row r="130" spans="1:2">
      <c r="A130" s="72" t="s">
        <v>708</v>
      </c>
      <c r="B130" s="86" t="str">
        <f>IF((HVMC+HVMCB+HVMCC)&gt;0,MAX(HVMC,HVMCB,HVMCC),"B")</f>
        <v>B</v>
      </c>
    </row>
    <row r="131" spans="1:2">
      <c r="A131" s="72" t="s">
        <v>709</v>
      </c>
      <c r="B131" s="86" t="str">
        <f>IF((AVMC+AVMCB+AVMCC)&gt;0,AVERAGE(AVMC,AVMCB,AVMCC),"B")</f>
        <v>B</v>
      </c>
    </row>
    <row r="132" spans="1:2">
      <c r="A132" t="s">
        <v>464</v>
      </c>
      <c r="B132" s="16" t="str">
        <f>IF(ISBLANK(NFIVE),"b",(NFIVE))</f>
        <v>b</v>
      </c>
    </row>
    <row r="133" spans="1:2">
      <c r="A133" t="s">
        <v>465</v>
      </c>
      <c r="B133" s="18" t="str">
        <f>IF(ISBLANK(LFIVE),B135,(LFIVE))</f>
        <v>b</v>
      </c>
    </row>
    <row r="134" spans="1:2">
      <c r="A134" t="s">
        <v>466</v>
      </c>
      <c r="B134" s="18" t="str">
        <f>IF(ISBLANK(HFIVE),B135,(HFIVE))</f>
        <v>b</v>
      </c>
    </row>
    <row r="135" spans="1:2">
      <c r="A135" t="s">
        <v>467</v>
      </c>
      <c r="B135" s="18" t="str">
        <f>IF(ISBLANK(AFIVE),"b",(AFIVE))</f>
        <v>b</v>
      </c>
    </row>
    <row r="136" spans="1:2">
      <c r="A136" t="s">
        <v>468</v>
      </c>
      <c r="B136" s="18" t="str">
        <f>IF(ISBLANK(LFIVEB),B138,(LFIVEB))</f>
        <v>b</v>
      </c>
    </row>
    <row r="137" spans="1:2">
      <c r="A137" t="s">
        <v>469</v>
      </c>
      <c r="B137" s="18" t="str">
        <f>IF(ISBLANK(HFIVEB),B138,(HFIVEB))</f>
        <v>b</v>
      </c>
    </row>
    <row r="138" spans="1:2">
      <c r="A138" t="s">
        <v>470</v>
      </c>
      <c r="B138" s="18" t="str">
        <f>IF(ISBLANK(AFIVEB),"b",(AFIVEB))</f>
        <v>b</v>
      </c>
    </row>
    <row r="139" spans="1:2">
      <c r="A139" t="s">
        <v>471</v>
      </c>
      <c r="B139" s="18" t="str">
        <f>IF(ISBLANK(LFIVEC),B141,(LFIVEC))</f>
        <v>b</v>
      </c>
    </row>
    <row r="140" spans="1:2">
      <c r="A140" t="s">
        <v>472</v>
      </c>
      <c r="B140" s="18" t="str">
        <f>IF(ISBLANK(HFIVEC),B141,(HFIVEC))</f>
        <v>b</v>
      </c>
    </row>
    <row r="141" spans="1:2">
      <c r="A141" t="s">
        <v>473</v>
      </c>
      <c r="B141" s="18" t="str">
        <f>IF(ISBLANK(AFIVEC),"b",(AFIVEC))</f>
        <v>b</v>
      </c>
    </row>
    <row r="142" spans="1:2">
      <c r="A142" s="72" t="s">
        <v>710</v>
      </c>
      <c r="B142" s="86" t="str">
        <f>IF((LFIVE+LFIVEB+LFIVEC)&gt;0,MIN(LFIVE,LFIVEB,LFIVEC),"B")</f>
        <v>B</v>
      </c>
    </row>
    <row r="143" spans="1:2">
      <c r="A143" s="72" t="s">
        <v>711</v>
      </c>
      <c r="B143" s="86" t="str">
        <f>IF((HFIVE+HFIVEB+HFIVEC)&gt;0,MAX(HFIVE,HFIVEB,HFIVEC),"B")</f>
        <v>B</v>
      </c>
    </row>
    <row r="144" spans="1:2">
      <c r="A144" s="72" t="s">
        <v>712</v>
      </c>
      <c r="B144" s="86" t="str">
        <f>IF((AFIVE+AFIVEB+AFIVEC)&gt;0,AVERAGE(AFIVE,AFIVEB,AFIVEC),"B")</f>
        <v>B</v>
      </c>
    </row>
    <row r="145" spans="1:2">
      <c r="A145" t="s">
        <v>474</v>
      </c>
      <c r="B145" s="16" t="str">
        <f>IF(ISBLANK(NELEC),"b",(NELEC))</f>
        <v>b</v>
      </c>
    </row>
    <row r="146" spans="1:2">
      <c r="A146" t="s">
        <v>475</v>
      </c>
      <c r="B146" s="18" t="str">
        <f>IF(ISBLANK(LELEC),B148,(LELEC))</f>
        <v>b</v>
      </c>
    </row>
    <row r="147" spans="1:2">
      <c r="A147" t="s">
        <v>476</v>
      </c>
      <c r="B147" s="18" t="str">
        <f>IF(ISBLANK(HELEC),B148,(HELEC))</f>
        <v>b</v>
      </c>
    </row>
    <row r="148" spans="1:2">
      <c r="A148" t="s">
        <v>477</v>
      </c>
      <c r="B148" s="18" t="str">
        <f>IF(ISBLANK(AELEC),"b",(AELEC))</f>
        <v>b</v>
      </c>
    </row>
    <row r="149" spans="1:2">
      <c r="A149" t="s">
        <v>478</v>
      </c>
      <c r="B149" s="18" t="str">
        <f>IF(ISBLANK(LELECB),B151,(LELECB))</f>
        <v>b</v>
      </c>
    </row>
    <row r="150" spans="1:2">
      <c r="A150" t="s">
        <v>479</v>
      </c>
      <c r="B150" s="18" t="str">
        <f>IF(ISBLANK(HELECB),B151,(HELECB))</f>
        <v>b</v>
      </c>
    </row>
    <row r="151" spans="1:2">
      <c r="A151" t="s">
        <v>480</v>
      </c>
      <c r="B151" s="18" t="str">
        <f>IF(ISBLANK(AELECB),"b",(AELECB))</f>
        <v>b</v>
      </c>
    </row>
    <row r="152" spans="1:2">
      <c r="A152" t="s">
        <v>481</v>
      </c>
      <c r="B152" s="18" t="str">
        <f>IF(ISBLANK(LELECC),B154,(LELECC))</f>
        <v>b</v>
      </c>
    </row>
    <row r="153" spans="1:2">
      <c r="A153" t="s">
        <v>482</v>
      </c>
      <c r="B153" s="18" t="str">
        <f>IF(ISBLANK(HELECC),B154,(HELECC))</f>
        <v>b</v>
      </c>
    </row>
    <row r="154" spans="1:2">
      <c r="A154" t="s">
        <v>483</v>
      </c>
      <c r="B154" s="18" t="str">
        <f>IF(ISBLANK(AELECC),"b",(AELECC))</f>
        <v>b</v>
      </c>
    </row>
    <row r="155" spans="1:2">
      <c r="A155" s="72" t="s">
        <v>713</v>
      </c>
      <c r="B155" s="86" t="str">
        <f>IF((LELEC+LELECB+LELECC)&gt;0,MIN(LELEC,LELECB,LELECC),"B")</f>
        <v>B</v>
      </c>
    </row>
    <row r="156" spans="1:2">
      <c r="A156" s="72" t="s">
        <v>714</v>
      </c>
      <c r="B156" s="86" t="str">
        <f>IF((HELEC+HELECB+HELECC)&gt;0,MAX(HELEC,HELECB,HELECC),"B")</f>
        <v>B</v>
      </c>
    </row>
    <row r="157" spans="1:2">
      <c r="A157" s="72" t="s">
        <v>715</v>
      </c>
      <c r="B157" s="86" t="str">
        <f>IF((AELEC+AELECB+AELECC)&gt;0,AVERAGE(AELEC,AELECB,AELECC),"B")</f>
        <v>B</v>
      </c>
    </row>
    <row r="158" spans="1:2">
      <c r="A158" t="s">
        <v>237</v>
      </c>
      <c r="B158" s="16" t="str">
        <f>IF(ISBLANK(NEDM),"b",(NEDM))</f>
        <v>b</v>
      </c>
    </row>
    <row r="159" spans="1:2">
      <c r="A159" t="s">
        <v>436</v>
      </c>
      <c r="B159" s="18" t="str">
        <f>IF(ISBLANK(LEDM),B161,(LEDM))</f>
        <v>b</v>
      </c>
    </row>
    <row r="160" spans="1:2">
      <c r="A160" t="s">
        <v>437</v>
      </c>
      <c r="B160" s="18" t="str">
        <f>IF(ISBLANK(HEDM),B161,(HEDM))</f>
        <v>b</v>
      </c>
    </row>
    <row r="161" spans="1:2">
      <c r="A161" t="s">
        <v>329</v>
      </c>
      <c r="B161" s="18" t="str">
        <f>IF(ISBLANK(AEDM),"b",(AEDM))</f>
        <v>b</v>
      </c>
    </row>
    <row r="162" spans="1:2">
      <c r="A162" t="s">
        <v>438</v>
      </c>
      <c r="B162" s="18" t="str">
        <f>IF(ISBLANK(LEDMB),B164,(LEDMB))</f>
        <v>b</v>
      </c>
    </row>
    <row r="163" spans="1:2">
      <c r="A163" t="s">
        <v>439</v>
      </c>
      <c r="B163" s="18" t="str">
        <f>IF(ISBLANK(HEDMB),B164,(HEDMB))</f>
        <v>b</v>
      </c>
    </row>
    <row r="164" spans="1:2">
      <c r="A164" t="s">
        <v>440</v>
      </c>
      <c r="B164" s="18" t="str">
        <f>IF(ISBLANK(AEDMB),"b",(AEDMB))</f>
        <v>b</v>
      </c>
    </row>
    <row r="165" spans="1:2">
      <c r="A165" t="s">
        <v>441</v>
      </c>
      <c r="B165" s="18" t="str">
        <f>IF(ISBLANK(LEDMC),B167,(LEDMC))</f>
        <v>b</v>
      </c>
    </row>
    <row r="166" spans="1:2">
      <c r="A166" t="s">
        <v>442</v>
      </c>
      <c r="B166" s="18" t="str">
        <f>IF(ISBLANK(HEDMC),B167,(HEDMC))</f>
        <v>b</v>
      </c>
    </row>
    <row r="167" spans="1:2">
      <c r="A167" t="s">
        <v>443</v>
      </c>
      <c r="B167" s="18" t="str">
        <f>IF(ISBLANK(AEDMC),"b",(AEDMC))</f>
        <v>b</v>
      </c>
    </row>
    <row r="168" spans="1:2">
      <c r="A168" s="72" t="s">
        <v>716</v>
      </c>
      <c r="B168" s="86" t="str">
        <f>IF((LEDM+LEDMB+LEDMC)&gt;0,MIN(LEDM,LEDMB,LEDMC),"B")</f>
        <v>B</v>
      </c>
    </row>
    <row r="169" spans="1:2">
      <c r="A169" s="72" t="s">
        <v>717</v>
      </c>
      <c r="B169" s="86" t="str">
        <f>IF((HEDM+HEDMB+HEDMC)&gt;0,MAX(HEDM,HEDMB,HEDMC),"B")</f>
        <v>B</v>
      </c>
    </row>
    <row r="170" spans="1:2">
      <c r="A170" s="72" t="s">
        <v>718</v>
      </c>
      <c r="B170" s="86" t="str">
        <f>IF((AEDM+AEDMB+AEDMC)&gt;0,AVERAGE(AEDM,AEDMB,AEDMC),"B")</f>
        <v>B</v>
      </c>
    </row>
    <row r="171" spans="1:2">
      <c r="A171" t="s">
        <v>604</v>
      </c>
      <c r="B171" s="16" t="str">
        <f>IF(ISBLANK(NBLAN),"b",(NBLAN))</f>
        <v>b</v>
      </c>
    </row>
    <row r="172" spans="1:2">
      <c r="A172" t="s">
        <v>605</v>
      </c>
      <c r="B172" s="18" t="str">
        <f>IF(ISBLANK(LBLAN),B174,(LBLAN))</f>
        <v>b</v>
      </c>
    </row>
    <row r="173" spans="1:2">
      <c r="A173" t="s">
        <v>606</v>
      </c>
      <c r="B173" s="18" t="str">
        <f>IF(ISBLANK(HBLAN),B174,(HBLAN))</f>
        <v>b</v>
      </c>
    </row>
    <row r="174" spans="1:2">
      <c r="A174" t="s">
        <v>607</v>
      </c>
      <c r="B174" s="18" t="str">
        <f>IF(ISBLANK(ABLAN),"b",(ABLAN))</f>
        <v>b</v>
      </c>
    </row>
    <row r="175" spans="1:2">
      <c r="A175" t="s">
        <v>608</v>
      </c>
      <c r="B175" s="18" t="str">
        <f>IF(ISBLANK(LBLANB),B177,(LBLANB))</f>
        <v>b</v>
      </c>
    </row>
    <row r="176" spans="1:2">
      <c r="A176" t="s">
        <v>609</v>
      </c>
      <c r="B176" s="18" t="str">
        <f>IF(ISBLANK(HBLANB),B177,(HBLANB))</f>
        <v>b</v>
      </c>
    </row>
    <row r="177" spans="1:2">
      <c r="A177" t="s">
        <v>610</v>
      </c>
      <c r="B177" s="18" t="str">
        <f>IF(ISBLANK(ABLANB),"b",(ABLANB))</f>
        <v>b</v>
      </c>
    </row>
    <row r="178" spans="1:2">
      <c r="A178" t="s">
        <v>611</v>
      </c>
      <c r="B178" s="18" t="str">
        <f>IF(ISBLANK(LBLANC),B180,(LBLANC))</f>
        <v>b</v>
      </c>
    </row>
    <row r="179" spans="1:2">
      <c r="A179" t="s">
        <v>612</v>
      </c>
      <c r="B179" s="18" t="str">
        <f>IF(ISBLANK(HBLANC),B180,(HBLANC))</f>
        <v>b</v>
      </c>
    </row>
    <row r="180" spans="1:2">
      <c r="A180" t="s">
        <v>613</v>
      </c>
      <c r="B180" s="18" t="str">
        <f>IF(ISBLANK(ABLANC),"b",(ABLANC))</f>
        <v>b</v>
      </c>
    </row>
    <row r="181" spans="1:2">
      <c r="A181" s="72" t="s">
        <v>719</v>
      </c>
      <c r="B181" s="86" t="str">
        <f>IF((LBLAN+LBLANB+LBLANC)&gt;0,MIN(LBLAN,LBLANB,LBLANC),"B")</f>
        <v>B</v>
      </c>
    </row>
    <row r="182" spans="1:2">
      <c r="A182" s="72" t="s">
        <v>720</v>
      </c>
      <c r="B182" s="86" t="str">
        <f>IF((HBLAN+HBLANB+HBLANC)&gt;0,MAX(HBLAN,HBLANB,HBLANC),"B")</f>
        <v>B</v>
      </c>
    </row>
    <row r="183" spans="1:2">
      <c r="A183" s="72" t="s">
        <v>721</v>
      </c>
      <c r="B183" s="86" t="str">
        <f>IF((ABLAN+ABLANB+ABLANC)&gt;0,AVERAGE(ABLAN,ABLANB,ABLANC),"B")</f>
        <v>B</v>
      </c>
    </row>
    <row r="184" spans="1:2">
      <c r="A184" t="s">
        <v>614</v>
      </c>
      <c r="B184" s="16" t="str">
        <f>IF(ISBLANK(NCYL),"b",(NCYL))</f>
        <v>b</v>
      </c>
    </row>
    <row r="185" spans="1:2">
      <c r="A185" t="s">
        <v>615</v>
      </c>
      <c r="B185" s="18" t="str">
        <f>IF(ISBLANK(LCYL),B187,(LCYL))</f>
        <v>b</v>
      </c>
    </row>
    <row r="186" spans="1:2">
      <c r="A186" t="s">
        <v>616</v>
      </c>
      <c r="B186" s="18" t="str">
        <f>IF(ISBLANK(HCYL),B187,(HCYL))</f>
        <v>b</v>
      </c>
    </row>
    <row r="187" spans="1:2">
      <c r="A187" t="s">
        <v>617</v>
      </c>
      <c r="B187" s="18" t="str">
        <f>IF(ISBLANK(ACYL),"b",(ACYL))</f>
        <v>b</v>
      </c>
    </row>
    <row r="188" spans="1:2">
      <c r="A188" t="s">
        <v>618</v>
      </c>
      <c r="B188" s="18" t="str">
        <f>IF(ISBLANK(LCYLB),B190,(LCYLB))</f>
        <v>b</v>
      </c>
    </row>
    <row r="189" spans="1:2">
      <c r="A189" t="s">
        <v>619</v>
      </c>
      <c r="B189" s="18" t="str">
        <f>IF(ISBLANK(HCYLB),B190,(HCYLB))</f>
        <v>b</v>
      </c>
    </row>
    <row r="190" spans="1:2">
      <c r="A190" t="s">
        <v>620</v>
      </c>
      <c r="B190" s="18" t="str">
        <f>IF(ISBLANK(ACYLB),"b",(ACYLB))</f>
        <v>b</v>
      </c>
    </row>
    <row r="191" spans="1:2">
      <c r="A191" t="s">
        <v>621</v>
      </c>
      <c r="B191" s="18" t="str">
        <f>IF(ISBLANK(LCYLC),B193,(LCYLC))</f>
        <v>b</v>
      </c>
    </row>
    <row r="192" spans="1:2">
      <c r="A192" t="s">
        <v>622</v>
      </c>
      <c r="B192" s="18" t="str">
        <f>IF(ISBLANK(HCYLC),B193,(HCYLC))</f>
        <v>b</v>
      </c>
    </row>
    <row r="193" spans="1:2">
      <c r="A193" t="s">
        <v>623</v>
      </c>
      <c r="B193" s="18" t="str">
        <f>IF(ISBLANK(ACYLC),"b",(ACYLC))</f>
        <v>b</v>
      </c>
    </row>
    <row r="194" spans="1:2">
      <c r="A194" s="72" t="s">
        <v>722</v>
      </c>
      <c r="B194" s="86" t="str">
        <f>IF((LCYL+LCYLB+LCYLC)&gt;0,MIN(LCYL,LCYLB,LCYLC),"B")</f>
        <v>B</v>
      </c>
    </row>
    <row r="195" spans="1:2">
      <c r="A195" s="72" t="s">
        <v>723</v>
      </c>
      <c r="B195" s="86" t="str">
        <f>IF((HCYL+HCYLB+HCYLC)&gt;0,MAX(HCYL,HCYLB,HCYLC),"B")</f>
        <v>B</v>
      </c>
    </row>
    <row r="196" spans="1:2">
      <c r="A196" s="72" t="s">
        <v>724</v>
      </c>
      <c r="B196" s="86" t="str">
        <f>IF((ACYL+ACYLB+ACYLC)&gt;0,AVERAGE(ACYL,ACYLB,ACYLC),"B")</f>
        <v>B</v>
      </c>
    </row>
    <row r="197" spans="1:2">
      <c r="A197" t="s">
        <v>624</v>
      </c>
      <c r="B197" s="16" t="str">
        <f>IF(ISBLANK(NSUR),"b",(NSUR))</f>
        <v>b</v>
      </c>
    </row>
    <row r="198" spans="1:2">
      <c r="A198" t="s">
        <v>625</v>
      </c>
      <c r="B198" s="18" t="str">
        <f>IF(ISBLANK(LSUR),B200,(LSUR))</f>
        <v>b</v>
      </c>
    </row>
    <row r="199" spans="1:2">
      <c r="A199" t="s">
        <v>626</v>
      </c>
      <c r="B199" s="18" t="str">
        <f>IF(ISBLANK(HSUR),B200,(HSUR))</f>
        <v>b</v>
      </c>
    </row>
    <row r="200" spans="1:2">
      <c r="A200" t="s">
        <v>627</v>
      </c>
      <c r="B200" s="18" t="str">
        <f>IF(ISBLANK(ASUR),"b",(ASUR))</f>
        <v>b</v>
      </c>
    </row>
    <row r="201" spans="1:2">
      <c r="A201" t="s">
        <v>628</v>
      </c>
      <c r="B201" s="18" t="str">
        <f>IF(ISBLANK(LSURB),B203,(LSURB))</f>
        <v>b</v>
      </c>
    </row>
    <row r="202" spans="1:2">
      <c r="A202" t="s">
        <v>629</v>
      </c>
      <c r="B202" s="18" t="str">
        <f>IF(ISBLANK(HSURB),B203,(HSURB))</f>
        <v>b</v>
      </c>
    </row>
    <row r="203" spans="1:2">
      <c r="A203" t="s">
        <v>630</v>
      </c>
      <c r="B203" s="18" t="str">
        <f>IF(ISBLANK(ASURB),"b",(ASURB))</f>
        <v>b</v>
      </c>
    </row>
    <row r="204" spans="1:2">
      <c r="A204" t="s">
        <v>631</v>
      </c>
      <c r="B204" s="18" t="str">
        <f>IF(ISBLANK(LSURC),B206,(LSURC))</f>
        <v>b</v>
      </c>
    </row>
    <row r="205" spans="1:2">
      <c r="A205" t="s">
        <v>632</v>
      </c>
      <c r="B205" s="18" t="str">
        <f>IF(ISBLANK(HSURC),B206,(HSURC))</f>
        <v>b</v>
      </c>
    </row>
    <row r="206" spans="1:2">
      <c r="A206" t="s">
        <v>633</v>
      </c>
      <c r="B206" s="18" t="str">
        <f>IF(ISBLANK(ASURC),"b",(ASURC))</f>
        <v>b</v>
      </c>
    </row>
    <row r="207" spans="1:2">
      <c r="A207" s="72" t="s">
        <v>725</v>
      </c>
      <c r="B207" s="86" t="str">
        <f>IF((LSUR+LSURB+LSURC)&gt;0,MIN(LSUR,LSURB,LSURC),"B")</f>
        <v>B</v>
      </c>
    </row>
    <row r="208" spans="1:2">
      <c r="A208" s="72" t="s">
        <v>726</v>
      </c>
      <c r="B208" s="86" t="str">
        <f>IF((HSUR+HSURB+HSURC)&gt;0,MAX(HSUR,HSURB,HSURC),"B")</f>
        <v>B</v>
      </c>
    </row>
    <row r="209" spans="1:2">
      <c r="A209" s="72" t="s">
        <v>727</v>
      </c>
      <c r="B209" s="86" t="str">
        <f>IF((ASUR+ASURB+ASURC)&gt;0,AVERAGE(ASUR,ASURB,ASURC),"B")</f>
        <v>B</v>
      </c>
    </row>
    <row r="210" spans="1:2">
      <c r="A210" t="s">
        <v>634</v>
      </c>
      <c r="B210" s="16" t="str">
        <f>IF(ISBLANK(NTURN),"b",(NTURN))</f>
        <v>b</v>
      </c>
    </row>
    <row r="211" spans="1:2">
      <c r="A211" t="s">
        <v>635</v>
      </c>
      <c r="B211" s="18" t="str">
        <f>IF(ISBLANK(LTURN),B213,(LTURN))</f>
        <v>b</v>
      </c>
    </row>
    <row r="212" spans="1:2">
      <c r="A212" t="s">
        <v>636</v>
      </c>
      <c r="B212" s="18" t="str">
        <f>IF(ISBLANK(HTURN),B213,(HTURN))</f>
        <v>b</v>
      </c>
    </row>
    <row r="213" spans="1:2">
      <c r="A213" t="s">
        <v>637</v>
      </c>
      <c r="B213" s="18" t="str">
        <f>IF(ISBLANK(ATURN),"b",(ATURN))</f>
        <v>b</v>
      </c>
    </row>
    <row r="214" spans="1:2">
      <c r="A214" t="s">
        <v>638</v>
      </c>
      <c r="B214" s="18" t="str">
        <f>IF(ISBLANK(LTURNB),B216,(LTURNB))</f>
        <v>b</v>
      </c>
    </row>
    <row r="215" spans="1:2">
      <c r="A215" t="s">
        <v>639</v>
      </c>
      <c r="B215" s="18" t="str">
        <f>IF(ISBLANK(HTURNB),B216,(HTURNB))</f>
        <v>b</v>
      </c>
    </row>
    <row r="216" spans="1:2">
      <c r="A216" t="s">
        <v>640</v>
      </c>
      <c r="B216" s="18" t="str">
        <f>IF(ISBLANK(ATURNB),"b",(ATURNB))</f>
        <v>b</v>
      </c>
    </row>
    <row r="217" spans="1:2">
      <c r="A217" t="s">
        <v>641</v>
      </c>
      <c r="B217" s="18" t="str">
        <f>IF(ISBLANK(LTURNC),B219,(LTURNC))</f>
        <v>b</v>
      </c>
    </row>
    <row r="218" spans="1:2">
      <c r="A218" t="s">
        <v>642</v>
      </c>
      <c r="B218" s="18" t="str">
        <f>IF(ISBLANK(HTURNC),B219,(HTURNC))</f>
        <v>b</v>
      </c>
    </row>
    <row r="219" spans="1:2">
      <c r="A219" t="s">
        <v>643</v>
      </c>
      <c r="B219" s="18" t="str">
        <f>IF(ISBLANK(ATURNC),"b",(ATURNC))</f>
        <v>b</v>
      </c>
    </row>
    <row r="220" spans="1:2">
      <c r="A220" s="72" t="s">
        <v>728</v>
      </c>
      <c r="B220" s="86" t="str">
        <f>IF((LTURN+LTURNB+LTURNC)&gt;0,MIN(LTURN,LTURNB,LTURNC),"B")</f>
        <v>B</v>
      </c>
    </row>
    <row r="221" spans="1:2">
      <c r="A221" s="72" t="s">
        <v>729</v>
      </c>
      <c r="B221" s="86" t="str">
        <f>IF((HTURN+HTURNB+HTURNC)&gt;0,MAX(HTURN,HTURNB,HTURNC),"B")</f>
        <v>B</v>
      </c>
    </row>
    <row r="222" spans="1:2">
      <c r="A222" s="72" t="s">
        <v>730</v>
      </c>
      <c r="B222" s="86" t="str">
        <f>IF((ATURN+ATURNB+ATURNC)&gt;0,AVERAGE(ATURN,ATURNB,ATURNC),"B")</f>
        <v>B</v>
      </c>
    </row>
    <row r="223" spans="1:2">
      <c r="A223" t="s">
        <v>644</v>
      </c>
      <c r="B223" s="16" t="str">
        <f>IF(ISBLANK(NMULTI),"b",(NMULTI))</f>
        <v>b</v>
      </c>
    </row>
    <row r="224" spans="1:2">
      <c r="A224" t="s">
        <v>645</v>
      </c>
      <c r="B224" s="18" t="str">
        <f>IF(ISBLANK(LMULTI),B226,(LMULTI))</f>
        <v>b</v>
      </c>
    </row>
    <row r="225" spans="1:2">
      <c r="A225" t="s">
        <v>646</v>
      </c>
      <c r="B225" s="18" t="str">
        <f>IF(ISBLANK(HMULTI),B226,(HMULTI))</f>
        <v>b</v>
      </c>
    </row>
    <row r="226" spans="1:2">
      <c r="A226" t="s">
        <v>647</v>
      </c>
      <c r="B226" s="18" t="str">
        <f>IF(ISBLANK(AMULTI),"b",(AMULTI))</f>
        <v>b</v>
      </c>
    </row>
    <row r="227" spans="1:2">
      <c r="A227" t="s">
        <v>648</v>
      </c>
      <c r="B227" s="18" t="str">
        <f>IF(ISBLANK(LMULTIB),B229,(LMULTIB))</f>
        <v>b</v>
      </c>
    </row>
    <row r="228" spans="1:2">
      <c r="A228" t="s">
        <v>649</v>
      </c>
      <c r="B228" s="18" t="str">
        <f>IF(ISBLANK(HMULTIB),B229,(HMULTIB))</f>
        <v>b</v>
      </c>
    </row>
    <row r="229" spans="1:2">
      <c r="A229" t="s">
        <v>650</v>
      </c>
      <c r="B229" s="18" t="str">
        <f>IF(ISBLANK(AMULTIB),"b",(AMULTIB))</f>
        <v>b</v>
      </c>
    </row>
    <row r="230" spans="1:2">
      <c r="A230" t="s">
        <v>651</v>
      </c>
      <c r="B230" s="18" t="str">
        <f>IF(ISBLANK(LMULTIC),B232,(LMULTIC))</f>
        <v>b</v>
      </c>
    </row>
    <row r="231" spans="1:2">
      <c r="A231" t="s">
        <v>652</v>
      </c>
      <c r="B231" s="18" t="str">
        <f>IF(ISBLANK(HMULTIC),B232,(HMULTIC))</f>
        <v>b</v>
      </c>
    </row>
    <row r="232" spans="1:2">
      <c r="A232" t="s">
        <v>653</v>
      </c>
      <c r="B232" s="18" t="str">
        <f>IF(ISBLANK(AMULTIC),"b",(AMULTIC))</f>
        <v>b</v>
      </c>
    </row>
    <row r="233" spans="1:2">
      <c r="A233" s="72" t="s">
        <v>731</v>
      </c>
      <c r="B233" s="86" t="str">
        <f>IF((LMULTI+LMULTIB+LMULTIC)&gt;0,MIN(LMULTI,LMULTIB,LMULTIC),"B")</f>
        <v>B</v>
      </c>
    </row>
    <row r="234" spans="1:2">
      <c r="A234" s="72" t="s">
        <v>732</v>
      </c>
      <c r="B234" s="86" t="str">
        <f>IF((HMULTI+HMULTIB+HMULTIC)&gt;0,MAX(HMULTI,HMULTIB,HMULTIC),"B")</f>
        <v>B</v>
      </c>
    </row>
    <row r="235" spans="1:2">
      <c r="A235" s="72" t="s">
        <v>733</v>
      </c>
      <c r="B235" s="86" t="str">
        <f>IF((AMULTI+AMULTIB+AMULTIC)&gt;0,AVERAGE(AMULTI,AMULTIB,AMULTIC),"B")</f>
        <v>B</v>
      </c>
    </row>
    <row r="236" spans="1:2">
      <c r="A236" t="s">
        <v>654</v>
      </c>
      <c r="B236" s="16" t="str">
        <f>IF(ISBLANK(NSWIS),"b",(NSWIS))</f>
        <v>b</v>
      </c>
    </row>
    <row r="237" spans="1:2">
      <c r="A237" t="s">
        <v>655</v>
      </c>
      <c r="B237" s="18" t="str">
        <f>IF(ISBLANK(LSWIS),B239,(LSWIS))</f>
        <v>b</v>
      </c>
    </row>
    <row r="238" spans="1:2">
      <c r="A238" t="s">
        <v>656</v>
      </c>
      <c r="B238" s="18" t="str">
        <f>IF(ISBLANK(HSWIS),B239,(HSWIS))</f>
        <v>b</v>
      </c>
    </row>
    <row r="239" spans="1:2">
      <c r="A239" t="s">
        <v>657</v>
      </c>
      <c r="B239" s="18" t="str">
        <f>IF(ISBLANK(ASWIS),"b",(ASWIS))</f>
        <v>b</v>
      </c>
    </row>
    <row r="240" spans="1:2">
      <c r="A240" t="s">
        <v>658</v>
      </c>
      <c r="B240" s="18" t="str">
        <f>IF(ISBLANK(LSWISB),B242,(LSWISB))</f>
        <v>b</v>
      </c>
    </row>
    <row r="241" spans="1:2">
      <c r="A241" t="s">
        <v>659</v>
      </c>
      <c r="B241" s="18" t="str">
        <f>IF(ISBLANK(HSWISB),B242,(HSWISB))</f>
        <v>b</v>
      </c>
    </row>
    <row r="242" spans="1:2">
      <c r="A242" t="s">
        <v>660</v>
      </c>
      <c r="B242" s="18" t="str">
        <f>IF(ISBLANK(ASWISB),"b",(ASWISB))</f>
        <v>b</v>
      </c>
    </row>
    <row r="243" spans="1:2">
      <c r="A243" t="s">
        <v>661</v>
      </c>
      <c r="B243" s="18" t="str">
        <f>IF(ISBLANK(LSWISC),B245,(LSWISC))</f>
        <v>b</v>
      </c>
    </row>
    <row r="244" spans="1:2">
      <c r="A244" t="s">
        <v>662</v>
      </c>
      <c r="B244" s="18" t="str">
        <f>IF(ISBLANK(HSWISC),B245,(HSWISC))</f>
        <v>b</v>
      </c>
    </row>
    <row r="245" spans="1:2">
      <c r="A245" t="s">
        <v>663</v>
      </c>
      <c r="B245" s="18" t="str">
        <f>IF(ISBLANK(ASWISC),"b",(ASWISC))</f>
        <v>b</v>
      </c>
    </row>
    <row r="246" spans="1:2">
      <c r="A246" s="72" t="s">
        <v>734</v>
      </c>
      <c r="B246" s="86" t="str">
        <f>IF((LSWIS+LSWISB+LSWISC)&gt;0,MIN(LSWIS,LSWISB,LSWISC),"B")</f>
        <v>B</v>
      </c>
    </row>
    <row r="247" spans="1:2">
      <c r="A247" s="72" t="s">
        <v>735</v>
      </c>
      <c r="B247" s="86" t="str">
        <f>IF((HSWIS+HSWISB+HSWISC)&gt;0,MAX(HSWIS,HSWISB,HSWISC),"B")</f>
        <v>B</v>
      </c>
    </row>
    <row r="248" spans="1:2">
      <c r="A248" s="72" t="s">
        <v>736</v>
      </c>
      <c r="B248" s="86" t="str">
        <f>IF((ASWIS+ASWISB+ASWISC)&gt;0,AVERAGE(ASWIS,ASWISB,ASWISC),"B")</f>
        <v>B</v>
      </c>
    </row>
    <row r="249" spans="1:2">
      <c r="A249" t="s">
        <v>664</v>
      </c>
      <c r="B249" s="16" t="str">
        <f>IF(ISBLANK(NRTM),"b",(NRTM))</f>
        <v>b</v>
      </c>
    </row>
    <row r="250" spans="1:2">
      <c r="A250" t="s">
        <v>665</v>
      </c>
      <c r="B250" s="18" t="str">
        <f>IF(ISBLANK(LRTM),B252,(LRTM))</f>
        <v>b</v>
      </c>
    </row>
    <row r="251" spans="1:2">
      <c r="A251" t="s">
        <v>666</v>
      </c>
      <c r="B251" s="18" t="str">
        <f>IF(ISBLANK(HRTM),B252,(HRTM))</f>
        <v>b</v>
      </c>
    </row>
    <row r="252" spans="1:2">
      <c r="A252" t="s">
        <v>667</v>
      </c>
      <c r="B252" s="18" t="str">
        <f>IF(ISBLANK(ARTM),"b",(ARTM))</f>
        <v>b</v>
      </c>
    </row>
    <row r="253" spans="1:2">
      <c r="A253" t="s">
        <v>668</v>
      </c>
      <c r="B253" s="18" t="str">
        <f>IF(ISBLANK(LRTMB),B255,(LRTMB))</f>
        <v>b</v>
      </c>
    </row>
    <row r="254" spans="1:2">
      <c r="A254" t="s">
        <v>669</v>
      </c>
      <c r="B254" s="18" t="str">
        <f>IF(ISBLANK(HRTMB),B255,(HRTMB))</f>
        <v>b</v>
      </c>
    </row>
    <row r="255" spans="1:2">
      <c r="A255" t="s">
        <v>670</v>
      </c>
      <c r="B255" s="18" t="str">
        <f>IF(ISBLANK(ARTMB),"b",(ARTMB))</f>
        <v>b</v>
      </c>
    </row>
    <row r="256" spans="1:2">
      <c r="A256" t="s">
        <v>671</v>
      </c>
      <c r="B256" s="18" t="str">
        <f>IF(ISBLANK(LRTMC),B258,(LRTMC))</f>
        <v>b</v>
      </c>
    </row>
    <row r="257" spans="1:2">
      <c r="A257" t="s">
        <v>672</v>
      </c>
      <c r="B257" s="18" t="str">
        <f>IF(ISBLANK(HRTMC),B258,(HRTMC))</f>
        <v>b</v>
      </c>
    </row>
    <row r="258" spans="1:2">
      <c r="A258" t="s">
        <v>673</v>
      </c>
      <c r="B258" s="18" t="str">
        <f>IF(ISBLANK(ARTMC),"b",(ARTMC))</f>
        <v>b</v>
      </c>
    </row>
    <row r="259" spans="1:2">
      <c r="A259" s="72" t="s">
        <v>737</v>
      </c>
      <c r="B259" s="86" t="str">
        <f>IF((LRTM+LRTMB+LRTMC)&gt;0,MIN(LRTM,LRTMB,LRTMC),"B")</f>
        <v>B</v>
      </c>
    </row>
    <row r="260" spans="1:2">
      <c r="A260" s="72" t="s">
        <v>738</v>
      </c>
      <c r="B260" s="86" t="str">
        <f>IF((HRTM+HRTMB+HRTMC)&gt;0,MAX(HRTM,HRTMB,HRTMC),"B")</f>
        <v>B</v>
      </c>
    </row>
    <row r="261" spans="1:2">
      <c r="A261" s="72" t="s">
        <v>739</v>
      </c>
      <c r="B261" s="86" t="str">
        <f>IF((ARTM+ARTMB+ARTMC)&gt;0,AVERAGE(ARTM,ARTMB,ARTMC),"B")</f>
        <v>B</v>
      </c>
    </row>
    <row r="262" spans="1:2">
      <c r="A262" t="s">
        <v>309</v>
      </c>
      <c r="B262" s="16" t="str">
        <f>IF(ISBLANK(NSAW),"b",(NSAW))</f>
        <v>b</v>
      </c>
    </row>
    <row r="263" spans="1:2">
      <c r="A263" t="s">
        <v>538</v>
      </c>
      <c r="B263" s="18" t="str">
        <f>IF(ISBLANK(LSAW),B265,(LSAW))</f>
        <v>b</v>
      </c>
    </row>
    <row r="264" spans="1:2">
      <c r="A264" t="s">
        <v>539</v>
      </c>
      <c r="B264" s="18" t="str">
        <f>IF(ISBLANK(HSAW),B265,(HSAW))</f>
        <v>b</v>
      </c>
    </row>
    <row r="265" spans="1:2">
      <c r="A265" t="s">
        <v>334</v>
      </c>
      <c r="B265" s="18" t="str">
        <f>IF(ISBLANK(ASAW),"b",(ASAW))</f>
        <v>b</v>
      </c>
    </row>
    <row r="266" spans="1:2">
      <c r="A266" t="s">
        <v>540</v>
      </c>
      <c r="B266" s="18" t="str">
        <f>IF(ISBLANK(LSAWB),B268,(LSAWB))</f>
        <v>b</v>
      </c>
    </row>
    <row r="267" spans="1:2">
      <c r="A267" t="s">
        <v>541</v>
      </c>
      <c r="B267" s="18" t="str">
        <f>IF(ISBLANK(HSAWB),B268,(HSAWB))</f>
        <v>b</v>
      </c>
    </row>
    <row r="268" spans="1:2">
      <c r="A268" t="s">
        <v>542</v>
      </c>
      <c r="B268" s="18" t="str">
        <f>IF(ISBLANK(ASAWB),"b",(ASAWB))</f>
        <v>b</v>
      </c>
    </row>
    <row r="269" spans="1:2">
      <c r="A269" t="s">
        <v>543</v>
      </c>
      <c r="B269" s="18" t="str">
        <f>IF(ISBLANK(LSAWC),B271,(LSAWC))</f>
        <v>b</v>
      </c>
    </row>
    <row r="270" spans="1:2">
      <c r="A270" t="s">
        <v>544</v>
      </c>
      <c r="B270" s="18" t="str">
        <f>IF(ISBLANK(HSAWC),B271,(HSAWC))</f>
        <v>b</v>
      </c>
    </row>
    <row r="271" spans="1:2">
      <c r="A271" t="s">
        <v>545</v>
      </c>
      <c r="B271" s="18" t="str">
        <f>IF(ISBLANK(ASAWC),"b",(ASAWC))</f>
        <v>b</v>
      </c>
    </row>
    <row r="272" spans="1:2">
      <c r="A272" s="72" t="s">
        <v>740</v>
      </c>
      <c r="B272" s="86" t="str">
        <f>IF((LSAW+LSAWB+LSAWC)&gt;0,MIN(LSAW,LSAWB,LSAWC),"B")</f>
        <v>B</v>
      </c>
    </row>
    <row r="273" spans="1:2">
      <c r="A273" s="72" t="s">
        <v>741</v>
      </c>
      <c r="B273" s="86" t="str">
        <f>IF((HSAW+HSAWB+HSAWC)&gt;0,MAX(HSAW,HSAWB,HSAWC),"B")</f>
        <v>B</v>
      </c>
    </row>
    <row r="274" spans="1:2">
      <c r="A274" s="72" t="s">
        <v>742</v>
      </c>
      <c r="B274" s="86" t="str">
        <f>IF((ASAW+ASAWB+ASAWC)&gt;0,AVERAGE(ASAW,ASAWB,ASAWC),"B")</f>
        <v>B</v>
      </c>
    </row>
    <row r="275" spans="1:2">
      <c r="A275" t="s">
        <v>240</v>
      </c>
      <c r="B275" s="16" t="str">
        <f>IF(ISBLANK(NMOLD),"b",(NMOLD))</f>
        <v>b</v>
      </c>
    </row>
    <row r="276" spans="1:2">
      <c r="A276" t="s">
        <v>484</v>
      </c>
      <c r="B276" s="18" t="str">
        <f>IF(ISBLANK(LMOLD),B278,(LMOLD))</f>
        <v>b</v>
      </c>
    </row>
    <row r="277" spans="1:2">
      <c r="A277" t="s">
        <v>485</v>
      </c>
      <c r="B277" s="18" t="str">
        <f>IF(ISBLANK(HMOLD),B278,(HMOLD))</f>
        <v>b</v>
      </c>
    </row>
    <row r="278" spans="1:2">
      <c r="A278" t="s">
        <v>332</v>
      </c>
      <c r="B278" s="18" t="str">
        <f>IF(ISBLANK(AMOLD),"b",(AMOLD))</f>
        <v>b</v>
      </c>
    </row>
    <row r="279" spans="1:2">
      <c r="A279" t="s">
        <v>492</v>
      </c>
      <c r="B279" s="18" t="str">
        <f>IF(ISBLANK(LMOLDB),B281,(LMOLDB))</f>
        <v>b</v>
      </c>
    </row>
    <row r="280" spans="1:2">
      <c r="A280" t="s">
        <v>493</v>
      </c>
      <c r="B280" s="18" t="str">
        <f>IF(ISBLANK(HMOLDB),B281,(HMOLDB))</f>
        <v>b</v>
      </c>
    </row>
    <row r="281" spans="1:2">
      <c r="A281" t="s">
        <v>494</v>
      </c>
      <c r="B281" s="18" t="str">
        <f>IF(ISBLANK(AMOLDB),"b",(AMOLDB))</f>
        <v>b</v>
      </c>
    </row>
    <row r="282" spans="1:2">
      <c r="A282" t="s">
        <v>495</v>
      </c>
      <c r="B282" s="18" t="str">
        <f>IF(ISBLANK(LMOLDC),B284,(LMOLDC))</f>
        <v>b</v>
      </c>
    </row>
    <row r="283" spans="1:2">
      <c r="A283" t="s">
        <v>496</v>
      </c>
      <c r="B283" s="18" t="str">
        <f>IF(ISBLANK(HMOLDC),B284,(HMOLDC))</f>
        <v>b</v>
      </c>
    </row>
    <row r="284" spans="1:2">
      <c r="A284" t="s">
        <v>497</v>
      </c>
      <c r="B284" s="18" t="str">
        <f>IF(ISBLANK(AMOLDC),"b",(AMOLDC))</f>
        <v>b</v>
      </c>
    </row>
    <row r="285" spans="1:2">
      <c r="A285" s="72" t="s">
        <v>743</v>
      </c>
      <c r="B285" s="86" t="str">
        <f>IF((LMOLD+LMOLDB+LMOLDC)&gt;0,MIN(LMOLD,LMOLDB,LMOLDC),"B")</f>
        <v>B</v>
      </c>
    </row>
    <row r="286" spans="1:2">
      <c r="A286" s="72" t="s">
        <v>744</v>
      </c>
      <c r="B286" s="86" t="str">
        <f>IF((HMOLD+HMOLDB+HMOLDC)&gt;0,MAX(HMOLD,HMOLDB,HMOLDC),"B")</f>
        <v>B</v>
      </c>
    </row>
    <row r="287" spans="1:2">
      <c r="A287" s="72" t="s">
        <v>745</v>
      </c>
      <c r="B287" s="86" t="str">
        <f>IF((AMOLD+AMOLDB+AMOLDC)&gt;0,AVERAGE(AMOLD,AMOLDB,AMOLDC),"B")</f>
        <v>B</v>
      </c>
    </row>
    <row r="288" spans="1:2">
      <c r="A288" t="s">
        <v>236</v>
      </c>
      <c r="B288" s="16" t="str">
        <f>IF(ISBLANK(NDIE),"b",(NDIE))</f>
        <v>b</v>
      </c>
    </row>
    <row r="289" spans="1:2">
      <c r="A289" t="s">
        <v>420</v>
      </c>
      <c r="B289" s="18" t="str">
        <f>IF(ISBLANK(LDIE),B291,(LDIE))</f>
        <v>b</v>
      </c>
    </row>
    <row r="290" spans="1:2">
      <c r="A290" t="s">
        <v>421</v>
      </c>
      <c r="B290" s="18" t="str">
        <f>IF(ISBLANK(HDIE),B291,(HDIE))</f>
        <v>b</v>
      </c>
    </row>
    <row r="291" spans="1:2">
      <c r="A291" t="s">
        <v>328</v>
      </c>
      <c r="B291" s="18" t="str">
        <f>IF(ISBLANK(ADIE),"b",(ADIE))</f>
        <v>b</v>
      </c>
    </row>
    <row r="292" spans="1:2">
      <c r="A292" t="s">
        <v>486</v>
      </c>
      <c r="B292" s="18" t="str">
        <f>IF(ISBLANK(LDIEB),B294,(LDIEB))</f>
        <v>b</v>
      </c>
    </row>
    <row r="293" spans="1:2">
      <c r="A293" t="s">
        <v>487</v>
      </c>
      <c r="B293" s="18" t="str">
        <f>IF(ISBLANK(HDIEB),B294,(HDIEB))</f>
        <v>b</v>
      </c>
    </row>
    <row r="294" spans="1:2">
      <c r="A294" t="s">
        <v>488</v>
      </c>
      <c r="B294" s="18" t="str">
        <f>IF(ISBLANK(ADIEB),"b",(ADIEB))</f>
        <v>b</v>
      </c>
    </row>
    <row r="295" spans="1:2">
      <c r="A295" t="s">
        <v>489</v>
      </c>
      <c r="B295" s="18" t="str">
        <f>IF(ISBLANK(LDIEC),B297,(LDIEC))</f>
        <v>b</v>
      </c>
    </row>
    <row r="296" spans="1:2">
      <c r="A296" t="s">
        <v>490</v>
      </c>
      <c r="B296" s="18" t="str">
        <f>IF(ISBLANK(HDIEC),B297,(HDIEC))</f>
        <v>b</v>
      </c>
    </row>
    <row r="297" spans="1:2">
      <c r="A297" t="s">
        <v>491</v>
      </c>
      <c r="B297" s="18" t="str">
        <f>IF(ISBLANK(ADIEC),"b",(ADIEC))</f>
        <v>b</v>
      </c>
    </row>
    <row r="298" spans="1:2">
      <c r="A298" s="72" t="s">
        <v>746</v>
      </c>
      <c r="B298" s="86" t="str">
        <f>IF((LDIE+LDIEB+LDIEC)&gt;0,MIN(LDIE,LDIEB,LDIEC),"B")</f>
        <v>B</v>
      </c>
    </row>
    <row r="299" spans="1:2">
      <c r="A299" s="72" t="s">
        <v>747</v>
      </c>
      <c r="B299" s="86" t="str">
        <f>IF((HDIE+HDIEB+HDIEC)&gt;0,MAX(HDIE,HDIEB,HDIEC),"B")</f>
        <v>B</v>
      </c>
    </row>
    <row r="300" spans="1:2">
      <c r="A300" s="72" t="s">
        <v>748</v>
      </c>
      <c r="B300" s="86" t="str">
        <f>IF((ADIE+ADIEB+ADIEC)&gt;0,AVERAGE(ADIE,ADIEB,ADIEC),"B")</f>
        <v>B</v>
      </c>
    </row>
    <row r="301" spans="1:2">
      <c r="A301" t="s">
        <v>245</v>
      </c>
      <c r="B301" s="16" t="str">
        <f>IF(ISBLANK(NDEBUR),"b",(NDEBUR))</f>
        <v>b</v>
      </c>
    </row>
    <row r="302" spans="1:2">
      <c r="A302" t="s">
        <v>422</v>
      </c>
      <c r="B302" s="18" t="str">
        <f>IF(ISBLANK(LDEBUR),B304,(LDEBUR))</f>
        <v>b</v>
      </c>
    </row>
    <row r="303" spans="1:2">
      <c r="A303" t="s">
        <v>423</v>
      </c>
      <c r="B303" s="18" t="str">
        <f>IF(ISBLANK(HDEBUR),B304,(HDEBUR))</f>
        <v>b</v>
      </c>
    </row>
    <row r="304" spans="1:2">
      <c r="A304" t="s">
        <v>338</v>
      </c>
      <c r="B304" s="18" t="str">
        <f>IF(ISBLANK(ADEBUR),"b",(ADEBUR))</f>
        <v>b</v>
      </c>
    </row>
    <row r="305" spans="1:2">
      <c r="A305" t="s">
        <v>424</v>
      </c>
      <c r="B305" s="18" t="str">
        <f>IF(ISBLANK(LDEBURB),B307,(LDEBURB))</f>
        <v>b</v>
      </c>
    </row>
    <row r="306" spans="1:2">
      <c r="A306" t="s">
        <v>425</v>
      </c>
      <c r="B306" s="18" t="str">
        <f>IF(ISBLANK(HDEBURB),B307,(HDEBURB))</f>
        <v>b</v>
      </c>
    </row>
    <row r="307" spans="1:2">
      <c r="A307" t="s">
        <v>426</v>
      </c>
      <c r="B307" s="18" t="str">
        <f>IF(ISBLANK(ADEBURB),"b",(ADEBURB))</f>
        <v>b</v>
      </c>
    </row>
    <row r="308" spans="1:2">
      <c r="A308" t="s">
        <v>427</v>
      </c>
      <c r="B308" s="18" t="str">
        <f>IF(ISBLANK(LDEBURC),B310,(LDEBURC))</f>
        <v>b</v>
      </c>
    </row>
    <row r="309" spans="1:2">
      <c r="A309" t="s">
        <v>428</v>
      </c>
      <c r="B309" s="18" t="str">
        <f>IF(ISBLANK(HDEBURC),B310,(HDEBURC))</f>
        <v>b</v>
      </c>
    </row>
    <row r="310" spans="1:2">
      <c r="A310" t="s">
        <v>429</v>
      </c>
      <c r="B310" s="18" t="str">
        <f>IF(ISBLANK(ADEBURC),"b",(ADEBURC))</f>
        <v>b</v>
      </c>
    </row>
    <row r="311" spans="1:2">
      <c r="A311" s="72" t="s">
        <v>749</v>
      </c>
      <c r="B311" s="86" t="str">
        <f>IF((LDEBUR+LDEBURB+LDEBURC)&gt;0,MIN(LDEBUR,LDEBURB,LDEBURC),"B")</f>
        <v>B</v>
      </c>
    </row>
    <row r="312" spans="1:2">
      <c r="A312" s="72" t="s">
        <v>750</v>
      </c>
      <c r="B312" s="86" t="str">
        <f>IF((HDEBUR+HDEBURB+HDEBURC)&gt;0,MAX(HDEBUR,HDEBURB,HDEBURC),"B")</f>
        <v>B</v>
      </c>
    </row>
    <row r="313" spans="1:2">
      <c r="A313" s="72" t="s">
        <v>751</v>
      </c>
      <c r="B313" s="86" t="str">
        <f>IF((ADEBUR+ADEBURB+ADEBURC)&gt;0,AVERAGE(ADEBUR,ADEBURB,ADEBURC),"B")</f>
        <v>B</v>
      </c>
    </row>
    <row r="314" spans="1:2">
      <c r="A314" t="s">
        <v>241</v>
      </c>
      <c r="B314" s="16" t="str">
        <f>IF(ISBLANK(NPOL),"b",(NPOL))</f>
        <v>b</v>
      </c>
    </row>
    <row r="315" spans="1:2">
      <c r="A315" t="s">
        <v>500</v>
      </c>
      <c r="B315" s="18" t="str">
        <f>IF(ISBLANK(LPOL),B317,(LPOL))</f>
        <v>b</v>
      </c>
    </row>
    <row r="316" spans="1:2">
      <c r="A316" t="s">
        <v>501</v>
      </c>
      <c r="B316" s="18" t="str">
        <f>IF(ISBLANK(HPOL),B317,(HPOL))</f>
        <v>b</v>
      </c>
    </row>
    <row r="317" spans="1:2">
      <c r="A317" t="s">
        <v>333</v>
      </c>
      <c r="B317" s="18" t="str">
        <f>IF(ISBLANK(APOL),"b",(APOL))</f>
        <v>b</v>
      </c>
    </row>
    <row r="318" spans="1:2">
      <c r="A318" t="s">
        <v>504</v>
      </c>
      <c r="B318" s="18" t="str">
        <f>IF(ISBLANK(LPOLB),B320,(LPOLB))</f>
        <v>b</v>
      </c>
    </row>
    <row r="319" spans="1:2">
      <c r="A319" t="s">
        <v>505</v>
      </c>
      <c r="B319" s="18" t="str">
        <f>IF(ISBLANK(HPOLB),B320,(HPOLB))</f>
        <v>b</v>
      </c>
    </row>
    <row r="320" spans="1:2">
      <c r="A320" t="s">
        <v>506</v>
      </c>
      <c r="B320" s="18" t="str">
        <f>IF(ISBLANK(APOLB),"b",(APOLB))</f>
        <v>b</v>
      </c>
    </row>
    <row r="321" spans="1:2">
      <c r="A321" t="s">
        <v>507</v>
      </c>
      <c r="B321" s="18" t="str">
        <f>IF(ISBLANK(LPOLC),B323,(LPOLC))</f>
        <v>b</v>
      </c>
    </row>
    <row r="322" spans="1:2">
      <c r="A322" t="s">
        <v>508</v>
      </c>
      <c r="B322" s="18" t="str">
        <f>IF(ISBLANK(HPOLC),B323,(HPOLC))</f>
        <v>b</v>
      </c>
    </row>
    <row r="323" spans="1:2">
      <c r="A323" t="s">
        <v>509</v>
      </c>
      <c r="B323" s="18" t="str">
        <f>IF(ISBLANK(APOLC),"b",(APOLC))</f>
        <v>b</v>
      </c>
    </row>
    <row r="324" spans="1:2">
      <c r="A324" s="72" t="s">
        <v>752</v>
      </c>
      <c r="B324" s="86" t="str">
        <f>IF((LPOL+LPOLB+LPOLC)&gt;0,MIN(LPOL,LPOLB,LPOLC),"B")</f>
        <v>B</v>
      </c>
    </row>
    <row r="325" spans="1:2">
      <c r="A325" s="72" t="s">
        <v>753</v>
      </c>
      <c r="B325" s="86" t="str">
        <f>IF((HPOL+HPOLB+HPOLC)&gt;0,MAX(HPOL,HPOLB,HPOLC),"B")</f>
        <v>B</v>
      </c>
    </row>
    <row r="326" spans="1:2">
      <c r="A326" s="72" t="s">
        <v>754</v>
      </c>
      <c r="B326" s="86" t="str">
        <f>IF((APOL+APOLB+APOLC)&gt;0,AVERAGE(APOL,APOLB,APOLC),"B")</f>
        <v>B</v>
      </c>
    </row>
    <row r="327" spans="1:2">
      <c r="A327" t="s">
        <v>242</v>
      </c>
      <c r="B327" s="16" t="str">
        <f>IF(ISBLANK(NTOOL),"b",(NTOOL))</f>
        <v>b</v>
      </c>
    </row>
    <row r="328" spans="1:2">
      <c r="A328" t="s">
        <v>502</v>
      </c>
      <c r="B328" s="18" t="str">
        <f>IF(ISBLANK(LTOOL),B330,(LTOOL))</f>
        <v>b</v>
      </c>
    </row>
    <row r="329" spans="1:2">
      <c r="A329" t="s">
        <v>503</v>
      </c>
      <c r="B329" s="18" t="str">
        <f>IF(ISBLANK(HTOOL),B330,(HTOOL))</f>
        <v>b</v>
      </c>
    </row>
    <row r="330" spans="1:2">
      <c r="A330" t="s">
        <v>335</v>
      </c>
      <c r="B330" s="18" t="str">
        <f>IF(ISBLANK(ATOOL),"b",(ATOOL))</f>
        <v>b</v>
      </c>
    </row>
    <row r="331" spans="1:2">
      <c r="A331" t="s">
        <v>510</v>
      </c>
      <c r="B331" s="18" t="str">
        <f>IF(ISBLANK(LTOOLB),B333,(LTOOLB))</f>
        <v>b</v>
      </c>
    </row>
    <row r="332" spans="1:2">
      <c r="A332" t="s">
        <v>511</v>
      </c>
      <c r="B332" s="18" t="str">
        <f>IF(ISBLANK(HTOOLB),B333,(HTOOLB))</f>
        <v>b</v>
      </c>
    </row>
    <row r="333" spans="1:2">
      <c r="A333" t="s">
        <v>512</v>
      </c>
      <c r="B333" s="18" t="str">
        <f>IF(ISBLANK(ATOOLB),"b",(ATOOLB))</f>
        <v>b</v>
      </c>
    </row>
    <row r="334" spans="1:2">
      <c r="A334" t="s">
        <v>513</v>
      </c>
      <c r="B334" s="18" t="str">
        <f>IF(ISBLANK(LTOOLC),B336,(LTOOLC))</f>
        <v>b</v>
      </c>
    </row>
    <row r="335" spans="1:2">
      <c r="A335" t="s">
        <v>514</v>
      </c>
      <c r="B335" s="18" t="str">
        <f>IF(ISBLANK(HTOOLC),B336,(HTOOLC))</f>
        <v>b</v>
      </c>
    </row>
    <row r="336" spans="1:2">
      <c r="A336" t="s">
        <v>515</v>
      </c>
      <c r="B336" s="18" t="str">
        <f>IF(ISBLANK(ATOOLC),"b",(ATOOLC))</f>
        <v>b</v>
      </c>
    </row>
    <row r="337" spans="1:2">
      <c r="A337" s="72" t="s">
        <v>755</v>
      </c>
      <c r="B337" s="86" t="str">
        <f>IF((LTOOL+LTOOLB+LTOOLC)&gt;0,MIN(LTOOL,LTOOLB,LTOOLC),"B")</f>
        <v>B</v>
      </c>
    </row>
    <row r="338" spans="1:2">
      <c r="A338" s="72" t="s">
        <v>756</v>
      </c>
      <c r="B338" s="86" t="str">
        <f>IF((HTOOL+HTOOLB+HTOOLC)&gt;0,MAX(HTOOL,HTOOLB,HTOOLC),"B")</f>
        <v>B</v>
      </c>
    </row>
    <row r="339" spans="1:2">
      <c r="A339" s="72" t="s">
        <v>757</v>
      </c>
      <c r="B339" s="86" t="str">
        <f>IF((ATOOL+ATOOLB+ATOOLC)&gt;0,AVERAGE(ATOOL,ATOOLB,ATOOLC),"B")</f>
        <v>B</v>
      </c>
    </row>
    <row r="340" spans="1:2">
      <c r="A340" t="s">
        <v>244</v>
      </c>
      <c r="B340" s="16" t="str">
        <f>IF(ISBLANK(NASSM),"b",(NASSM))</f>
        <v>b</v>
      </c>
    </row>
    <row r="341" spans="1:2">
      <c r="A341" t="s">
        <v>522</v>
      </c>
      <c r="B341" s="18" t="str">
        <f>IF(ISBLANK(LASSM),B343,(LASSM))</f>
        <v>b</v>
      </c>
    </row>
    <row r="342" spans="1:2">
      <c r="A342" t="s">
        <v>523</v>
      </c>
      <c r="B342" s="18" t="str">
        <f>IF(ISBLANK(HASSM),B343,(HASSM))</f>
        <v>b</v>
      </c>
    </row>
    <row r="343" spans="1:2">
      <c r="A343" t="s">
        <v>337</v>
      </c>
      <c r="B343" s="18" t="str">
        <f>IF(ISBLANK(AASSM),"b",(AASSM))</f>
        <v>b</v>
      </c>
    </row>
    <row r="344" spans="1:2">
      <c r="A344" t="s">
        <v>516</v>
      </c>
      <c r="B344" s="18" t="str">
        <f>IF(ISBLANK(LASSMB),B346,(LASSMB))</f>
        <v>b</v>
      </c>
    </row>
    <row r="345" spans="1:2">
      <c r="A345" t="s">
        <v>517</v>
      </c>
      <c r="B345" s="18" t="str">
        <f>IF(ISBLANK(HASSMB),B346,(HASSMB))</f>
        <v>b</v>
      </c>
    </row>
    <row r="346" spans="1:2">
      <c r="A346" t="s">
        <v>518</v>
      </c>
      <c r="B346" s="18" t="str">
        <f>IF(ISBLANK(AASSMB),"b",(AASSMB))</f>
        <v>b</v>
      </c>
    </row>
    <row r="347" spans="1:2">
      <c r="A347" t="s">
        <v>519</v>
      </c>
      <c r="B347" s="18" t="str">
        <f>IF(ISBLANK(LASSMC),B349,(LASSMC))</f>
        <v>b</v>
      </c>
    </row>
    <row r="348" spans="1:2">
      <c r="A348" t="s">
        <v>520</v>
      </c>
      <c r="B348" s="18" t="str">
        <f>IF(ISBLANK(HASSMC),B349,(HASSMC))</f>
        <v>b</v>
      </c>
    </row>
    <row r="349" spans="1:2">
      <c r="A349" t="s">
        <v>521</v>
      </c>
      <c r="B349" s="18" t="str">
        <f>IF(ISBLANK(AASSMC),"b",(AASSMC))</f>
        <v>b</v>
      </c>
    </row>
    <row r="350" spans="1:2">
      <c r="A350" s="72" t="s">
        <v>758</v>
      </c>
      <c r="B350" s="86" t="str">
        <f>IF((LASSM+LASSMB+LASSMC)&gt;0,MIN(LASSM,LASSMB,LASSMC),"B")</f>
        <v>B</v>
      </c>
    </row>
    <row r="351" spans="1:2">
      <c r="A351" s="72" t="s">
        <v>759</v>
      </c>
      <c r="B351" s="86" t="str">
        <f>IF((HASSM+HASSMB+HASSMC)&gt;0,MAX(HASSM,HASSMB,HASSMC),"B")</f>
        <v>B</v>
      </c>
    </row>
    <row r="352" spans="1:2">
      <c r="A352" s="72" t="s">
        <v>760</v>
      </c>
      <c r="B352" s="86" t="str">
        <f>IF((AASSM+AASSMB+AASSMC)&gt;0,AVERAGE(AASSM,AASSMB,AASSMC),"B")</f>
        <v>B</v>
      </c>
    </row>
    <row r="353" spans="1:2">
      <c r="A353" t="s">
        <v>238</v>
      </c>
      <c r="B353" s="16" t="str">
        <f>IF(ISBLANK(NENG),"b",(NENG))</f>
        <v>b</v>
      </c>
    </row>
    <row r="354" spans="1:2">
      <c r="A354" t="s">
        <v>498</v>
      </c>
      <c r="B354" s="18" t="str">
        <f>IF(ISBLANK(LENG),B356,(LENG))</f>
        <v>b</v>
      </c>
    </row>
    <row r="355" spans="1:2">
      <c r="A355" t="s">
        <v>499</v>
      </c>
      <c r="B355" s="18" t="str">
        <f>IF(ISBLANK(HENG),B356,(HENG))</f>
        <v>b</v>
      </c>
    </row>
    <row r="356" spans="1:2">
      <c r="A356" t="s">
        <v>330</v>
      </c>
      <c r="B356" s="18" t="str">
        <f>IF(ISBLANK(AENG),"b",(AENG))</f>
        <v>b</v>
      </c>
    </row>
    <row r="357" spans="1:2">
      <c r="A357" t="s">
        <v>524</v>
      </c>
      <c r="B357" s="18" t="str">
        <f>IF(ISBLANK(LENGB),B359,(LENGB))</f>
        <v>b</v>
      </c>
    </row>
    <row r="358" spans="1:2">
      <c r="A358" t="s">
        <v>525</v>
      </c>
      <c r="B358" s="18" t="str">
        <f>IF(ISBLANK(HENGB),B359,(HENGB))</f>
        <v>b</v>
      </c>
    </row>
    <row r="359" spans="1:2">
      <c r="A359" t="s">
        <v>526</v>
      </c>
      <c r="B359" s="18" t="str">
        <f>IF(ISBLANK(AENGB),"b",(AENGB))</f>
        <v>b</v>
      </c>
    </row>
    <row r="360" spans="1:2">
      <c r="A360" t="s">
        <v>527</v>
      </c>
      <c r="B360" s="18" t="str">
        <f>IF(ISBLANK(LENGC),B362,(LENGC))</f>
        <v>b</v>
      </c>
    </row>
    <row r="361" spans="1:2">
      <c r="A361" t="s">
        <v>528</v>
      </c>
      <c r="B361" s="18" t="str">
        <f>IF(ISBLANK(HENGC),B362,(HENGC))</f>
        <v>b</v>
      </c>
    </row>
    <row r="362" spans="1:2">
      <c r="A362" t="s">
        <v>529</v>
      </c>
      <c r="B362" s="18" t="str">
        <f>IF(ISBLANK(AENGC),"b",(AENGC))</f>
        <v>b</v>
      </c>
    </row>
    <row r="363" spans="1:2">
      <c r="A363" s="72" t="s">
        <v>761</v>
      </c>
      <c r="B363" s="86" t="str">
        <f>IF((LENG+LENGB+LENGC)&gt;0,MIN(LENG,LENGB,LENGC),"B")</f>
        <v>B</v>
      </c>
    </row>
    <row r="364" spans="1:2">
      <c r="A364" s="72" t="s">
        <v>762</v>
      </c>
      <c r="B364" s="86" t="str">
        <f>IF((HENG+HENGB+HENGC)&gt;0,MAX(HENG,HENGB,HENGC),"B")</f>
        <v>B</v>
      </c>
    </row>
    <row r="365" spans="1:2">
      <c r="A365" s="72" t="s">
        <v>763</v>
      </c>
      <c r="B365" s="86" t="str">
        <f>IF((AENG+AENGB+AENGC)&gt;0,AVERAGE(AENG,AENGB,AENGC),"B")</f>
        <v>B</v>
      </c>
    </row>
    <row r="366" spans="1:2">
      <c r="A366" t="s">
        <v>246</v>
      </c>
      <c r="B366" s="16" t="str">
        <f>IF(ISBLANK(NINSP),"b",(NINSP))</f>
        <v>b</v>
      </c>
    </row>
    <row r="367" spans="1:2">
      <c r="A367" t="s">
        <v>530</v>
      </c>
      <c r="B367" s="18" t="str">
        <f>IF(ISBLANK(LINSP),B369,(LINSP))</f>
        <v>b</v>
      </c>
    </row>
    <row r="368" spans="1:2">
      <c r="A368" t="s">
        <v>531</v>
      </c>
      <c r="B368" s="18" t="str">
        <f>IF(ISBLANK(HINSP),B369,(HINSP))</f>
        <v>b</v>
      </c>
    </row>
    <row r="369" spans="1:2">
      <c r="A369" t="s">
        <v>339</v>
      </c>
      <c r="B369" s="18" t="str">
        <f>IF(ISBLANK(AINSP),"b",(AINSP))</f>
        <v>b</v>
      </c>
    </row>
    <row r="370" spans="1:2">
      <c r="A370" t="s">
        <v>532</v>
      </c>
      <c r="B370" s="18" t="str">
        <f>IF(ISBLANK(LINSPB),B372,(LINSPB))</f>
        <v>b</v>
      </c>
    </row>
    <row r="371" spans="1:2">
      <c r="A371" t="s">
        <v>533</v>
      </c>
      <c r="B371" s="18" t="str">
        <f>IF(ISBLANK(HINSPB),B372,(HINSPB))</f>
        <v>b</v>
      </c>
    </row>
    <row r="372" spans="1:2">
      <c r="A372" t="s">
        <v>534</v>
      </c>
      <c r="B372" s="18" t="str">
        <f>IF(ISBLANK(AINSPB),"b",(AINSPB))</f>
        <v>b</v>
      </c>
    </row>
    <row r="373" spans="1:2">
      <c r="A373" t="s">
        <v>535</v>
      </c>
      <c r="B373" s="18" t="str">
        <f>IF(ISBLANK(LINSPC),B375,(LINSPC))</f>
        <v>b</v>
      </c>
    </row>
    <row r="374" spans="1:2">
      <c r="A374" t="s">
        <v>536</v>
      </c>
      <c r="B374" s="18" t="str">
        <f>IF(ISBLANK(HINSPC),B375,(HINSPC))</f>
        <v>b</v>
      </c>
    </row>
    <row r="375" spans="1:2">
      <c r="A375" t="s">
        <v>537</v>
      </c>
      <c r="B375" s="18" t="str">
        <f>IF(ISBLANK(AINSPC),"b",(AINSPC))</f>
        <v>b</v>
      </c>
    </row>
    <row r="376" spans="1:2">
      <c r="A376" s="72" t="s">
        <v>764</v>
      </c>
      <c r="B376" s="86" t="str">
        <f>IF((LINSP+LINSPB+LINSPC)&gt;0,MIN(LINSP,LINSPB,LINSPC),"B")</f>
        <v>B</v>
      </c>
    </row>
    <row r="377" spans="1:2">
      <c r="A377" s="72" t="s">
        <v>765</v>
      </c>
      <c r="B377" s="86" t="str">
        <f>IF((HINSP+HINSPB+HINSPC)&gt;0,MAX(HINSP,HINSPB,HINSPC),"B")</f>
        <v>B</v>
      </c>
    </row>
    <row r="378" spans="1:2">
      <c r="A378" s="72" t="s">
        <v>766</v>
      </c>
      <c r="B378" s="86" t="str">
        <f>IF((AINSP+AINSPB+AINSPC)&gt;0,AVERAGE(AINSP,AINSPB,AINSPC),"B")</f>
        <v>B</v>
      </c>
    </row>
    <row r="379" spans="1:2">
      <c r="A379" t="s">
        <v>247</v>
      </c>
      <c r="B379" s="16" t="str">
        <f>IF(ISBLANK(NMAIN),"b",(NMAIN))</f>
        <v>b</v>
      </c>
    </row>
    <row r="380" spans="1:2">
      <c r="A380" t="s">
        <v>548</v>
      </c>
      <c r="B380" s="18" t="str">
        <f>IF(ISBLANK(LMAIN),B382,(LMAIN))</f>
        <v>b</v>
      </c>
    </row>
    <row r="381" spans="1:2">
      <c r="A381" t="s">
        <v>549</v>
      </c>
      <c r="B381" s="18" t="str">
        <f>IF(ISBLANK(HMAIN),B382,(HMAIN))</f>
        <v>b</v>
      </c>
    </row>
    <row r="382" spans="1:2">
      <c r="A382" t="s">
        <v>340</v>
      </c>
      <c r="B382" s="18" t="str">
        <f>IF(ISBLANK(AMAIN),"b",(AMAIN))</f>
        <v>b</v>
      </c>
    </row>
    <row r="383" spans="1:2">
      <c r="A383" t="s">
        <v>550</v>
      </c>
      <c r="B383" s="18" t="str">
        <f>IF(ISBLANK(LMAINB),B385,(LMAINB))</f>
        <v>b</v>
      </c>
    </row>
    <row r="384" spans="1:2">
      <c r="A384" t="s">
        <v>551</v>
      </c>
      <c r="B384" s="18" t="str">
        <f>IF(ISBLANK(HMAINB),B385,(HMAINB))</f>
        <v>b</v>
      </c>
    </row>
    <row r="385" spans="1:2">
      <c r="A385" t="s">
        <v>552</v>
      </c>
      <c r="B385" s="18" t="str">
        <f>IF(ISBLANK(AMAINB),"b",(AMAINB))</f>
        <v>b</v>
      </c>
    </row>
    <row r="386" spans="1:2">
      <c r="A386" t="s">
        <v>553</v>
      </c>
      <c r="B386" s="18" t="str">
        <f>IF(ISBLANK(LMAINC),B388,(LMAINC))</f>
        <v>b</v>
      </c>
    </row>
    <row r="387" spans="1:2">
      <c r="A387" t="s">
        <v>554</v>
      </c>
      <c r="B387" s="18" t="str">
        <f>IF(ISBLANK(HMAINC),B388,(HMAINC))</f>
        <v>b</v>
      </c>
    </row>
    <row r="388" spans="1:2">
      <c r="A388" t="s">
        <v>555</v>
      </c>
      <c r="B388" s="18" t="str">
        <f>IF(ISBLANK(AMAINC),"b",(AMAINC))</f>
        <v>b</v>
      </c>
    </row>
    <row r="389" spans="1:2">
      <c r="A389" s="72" t="s">
        <v>767</v>
      </c>
      <c r="B389" s="86" t="str">
        <f>IF((LMAIN+LMAINB+LMAINC)&gt;0,MIN(LMAIN,LMAINB,LMAINC),"B")</f>
        <v>B</v>
      </c>
    </row>
    <row r="390" spans="1:2">
      <c r="A390" s="72" t="s">
        <v>768</v>
      </c>
      <c r="B390" s="86" t="str">
        <f>IF((HMAIN+HMAINB+HMAINC)&gt;0,MAX(HMAIN,HMAINB,HMAINC),"B")</f>
        <v>B</v>
      </c>
    </row>
    <row r="391" spans="1:2">
      <c r="A391" s="72" t="s">
        <v>769</v>
      </c>
      <c r="B391" s="86" t="str">
        <f>IF((AMAIN+AMAINB+AMAINC)&gt;0,AVERAGE(AMAIN,AMAINB,AMAINC),"B")</f>
        <v>B</v>
      </c>
    </row>
    <row r="392" spans="1:2">
      <c r="A392" t="s">
        <v>243</v>
      </c>
      <c r="B392" s="16" t="str">
        <f>IF(ISBLANK(NPROG),"b",(NPROG))</f>
        <v>b</v>
      </c>
    </row>
    <row r="393" spans="1:2">
      <c r="A393" t="s">
        <v>546</v>
      </c>
      <c r="B393" s="18" t="str">
        <f>IF(ISBLANK(LPROG),B395,(LPROG))</f>
        <v>b</v>
      </c>
    </row>
    <row r="394" spans="1:2">
      <c r="A394" t="s">
        <v>547</v>
      </c>
      <c r="B394" s="18" t="str">
        <f>IF(ISBLANK(HPROG),B395,(HPROG))</f>
        <v>b</v>
      </c>
    </row>
    <row r="395" spans="1:2">
      <c r="A395" t="s">
        <v>336</v>
      </c>
      <c r="B395" s="18" t="str">
        <f>IF(ISBLANK(APROG),"b",(APROG))</f>
        <v>b</v>
      </c>
    </row>
    <row r="396" spans="1:2">
      <c r="A396" t="s">
        <v>556</v>
      </c>
      <c r="B396" s="18" t="str">
        <f>IF(ISBLANK(LPROGB),B398,(LPROGB))</f>
        <v>b</v>
      </c>
    </row>
    <row r="397" spans="1:2">
      <c r="A397" t="s">
        <v>557</v>
      </c>
      <c r="B397" s="18" t="str">
        <f>IF(ISBLANK(HPROGB),B398,(HPROGB))</f>
        <v>b</v>
      </c>
    </row>
    <row r="398" spans="1:2">
      <c r="A398" t="s">
        <v>558</v>
      </c>
      <c r="B398" s="18" t="str">
        <f>IF(ISBLANK(APROGB),"b",(APROGB))</f>
        <v>b</v>
      </c>
    </row>
    <row r="399" spans="1:2">
      <c r="A399" t="s">
        <v>559</v>
      </c>
      <c r="B399" s="18" t="str">
        <f>IF(ISBLANK(LPROGC),B401,(LPROGC))</f>
        <v>b</v>
      </c>
    </row>
    <row r="400" spans="1:2">
      <c r="A400" t="s">
        <v>560</v>
      </c>
      <c r="B400" s="18" t="str">
        <f>IF(ISBLANK(HPROGC),B401,(HPROGC))</f>
        <v>b</v>
      </c>
    </row>
    <row r="401" spans="1:2">
      <c r="A401" t="s">
        <v>561</v>
      </c>
      <c r="B401" s="18" t="str">
        <f>IF(ISBLANK(APROGC),"b",(APROGC))</f>
        <v>b</v>
      </c>
    </row>
    <row r="402" spans="1:2">
      <c r="A402" s="72" t="s">
        <v>770</v>
      </c>
      <c r="B402" s="86" t="str">
        <f>IF((LPROG+LPROGB+LPROGC)&gt;0,MIN(LPROG,LPROGB,LPROGC),"B")</f>
        <v>B</v>
      </c>
    </row>
    <row r="403" spans="1:2">
      <c r="A403" s="72" t="s">
        <v>771</v>
      </c>
      <c r="B403" s="86" t="str">
        <f>IF((HPROG+HPROGB+HPROGC)&gt;0,MAX(HPROG,HPROGB,HPROGC),"B")</f>
        <v>B</v>
      </c>
    </row>
    <row r="404" spans="1:2">
      <c r="A404" s="72" t="s">
        <v>772</v>
      </c>
      <c r="B404" s="86" t="str">
        <f>IF((APROG+APROGB+APROGC)&gt;0,AVERAGE(APROG,APROGB,APROGC),"B")</f>
        <v>B</v>
      </c>
    </row>
    <row r="405" spans="1:2">
      <c r="A405" t="s">
        <v>248</v>
      </c>
      <c r="B405" s="16" t="str">
        <f>IF(ISBLANK(NSHIP),"b",(NSHIP))</f>
        <v>b</v>
      </c>
    </row>
    <row r="406" spans="1:2">
      <c r="A406" t="s">
        <v>562</v>
      </c>
      <c r="B406" s="18" t="str">
        <f>IF(ISBLANK(LSHIP),B408,(LSHIP))</f>
        <v>b</v>
      </c>
    </row>
    <row r="407" spans="1:2">
      <c r="A407" t="s">
        <v>563</v>
      </c>
      <c r="B407" s="18" t="str">
        <f>IF(ISBLANK(HSHIP),B408,(HSHIP))</f>
        <v>b</v>
      </c>
    </row>
    <row r="408" spans="1:2">
      <c r="A408" t="s">
        <v>341</v>
      </c>
      <c r="B408" s="18" t="str">
        <f>IF(ISBLANK(ASHIP),"b",(ASHIP))</f>
        <v>b</v>
      </c>
    </row>
    <row r="409" spans="1:2">
      <c r="A409" t="s">
        <v>570</v>
      </c>
      <c r="B409" s="18" t="str">
        <f>IF(ISBLANK(LSHIPB),B411,(LSHIPB))</f>
        <v>b</v>
      </c>
    </row>
    <row r="410" spans="1:2">
      <c r="A410" t="s">
        <v>571</v>
      </c>
      <c r="B410" s="18" t="str">
        <f>IF(ISBLANK(HSHIPB),B411,(HSHIPB))</f>
        <v>b</v>
      </c>
    </row>
    <row r="411" spans="1:2">
      <c r="A411" t="s">
        <v>572</v>
      </c>
      <c r="B411" s="18" t="str">
        <f>IF(ISBLANK(ASHIPB),"b",(ASHIPB))</f>
        <v>b</v>
      </c>
    </row>
    <row r="412" spans="1:2">
      <c r="A412" t="s">
        <v>573</v>
      </c>
      <c r="B412" s="18" t="str">
        <f>IF(ISBLANK(LSHIPC),B414,(LSHIPC))</f>
        <v>b</v>
      </c>
    </row>
    <row r="413" spans="1:2">
      <c r="A413" t="s">
        <v>574</v>
      </c>
      <c r="B413" s="18" t="str">
        <f>IF(ISBLANK(HSHIPC),B414,(HSHIPC))</f>
        <v>b</v>
      </c>
    </row>
    <row r="414" spans="1:2">
      <c r="A414" t="s">
        <v>575</v>
      </c>
      <c r="B414" s="18" t="str">
        <f>IF(ISBLANK(ASHIPC),"b",(ASHIPC))</f>
        <v>b</v>
      </c>
    </row>
    <row r="415" spans="1:2">
      <c r="A415" s="72" t="s">
        <v>773</v>
      </c>
      <c r="B415" s="86" t="str">
        <f>IF((LSHIP+LSHIPB+LSHIPC)&gt;0,MIN(LSHIP,LSHIPB,LSHIPC),"B")</f>
        <v>B</v>
      </c>
    </row>
    <row r="416" spans="1:2">
      <c r="A416" s="72" t="s">
        <v>774</v>
      </c>
      <c r="B416" s="86" t="str">
        <f>IF((HSHIP+HSHIPB+HSHIPC)&gt;0,MAX(HSHIP,HSHIPB,HSHIPC),"B")</f>
        <v>B</v>
      </c>
    </row>
    <row r="417" spans="1:2">
      <c r="A417" s="72" t="s">
        <v>775</v>
      </c>
      <c r="B417" s="86" t="str">
        <f>IF((ASHIP+ASHIPB+ASHIPC)&gt;0,AVERAGE(ASHIP,ASHIPB,ASHIPC),"B")</f>
        <v>B</v>
      </c>
    </row>
    <row r="418" spans="1:2">
      <c r="A418" t="s">
        <v>249</v>
      </c>
      <c r="B418" s="16" t="str">
        <f>IF(ISBLANK(NSUPR),"b",(NSUPR))</f>
        <v>b</v>
      </c>
    </row>
    <row r="419" spans="1:2">
      <c r="A419" t="s">
        <v>564</v>
      </c>
      <c r="B419" s="18" t="str">
        <f>IF(ISBLANK(LSUPR),B421,(LSUPR))</f>
        <v>b</v>
      </c>
    </row>
    <row r="420" spans="1:2">
      <c r="A420" t="s">
        <v>565</v>
      </c>
      <c r="B420" s="18" t="str">
        <f>IF(ISBLANK(HSUPR),B421,(HSUPR))</f>
        <v>b</v>
      </c>
    </row>
    <row r="421" spans="1:2">
      <c r="A421" t="s">
        <v>342</v>
      </c>
      <c r="B421" s="18" t="str">
        <f>IF(ISBLANK(ASUPR),"b",(ASUPR))</f>
        <v>b</v>
      </c>
    </row>
    <row r="422" spans="1:2">
      <c r="A422" t="s">
        <v>576</v>
      </c>
      <c r="B422" s="18" t="str">
        <f>IF(ISBLANK(LSUPRB),B424,(LSUPRB))</f>
        <v>b</v>
      </c>
    </row>
    <row r="423" spans="1:2">
      <c r="A423" t="s">
        <v>577</v>
      </c>
      <c r="B423" s="18" t="str">
        <f>IF(ISBLANK(HSUPRB),B424,(HSUPRB))</f>
        <v>b</v>
      </c>
    </row>
    <row r="424" spans="1:2">
      <c r="A424" t="s">
        <v>578</v>
      </c>
      <c r="B424" s="18" t="str">
        <f>IF(ISBLANK(ASUPRB),"b",(ASUPRB))</f>
        <v>b</v>
      </c>
    </row>
    <row r="425" spans="1:2">
      <c r="A425" t="s">
        <v>579</v>
      </c>
      <c r="B425" s="18" t="str">
        <f>IF(ISBLANK(LSUPRC),B427,(LSUPRC))</f>
        <v>b</v>
      </c>
    </row>
    <row r="426" spans="1:2">
      <c r="A426" t="s">
        <v>580</v>
      </c>
      <c r="B426" s="18" t="str">
        <f>IF(ISBLANK(HSUPRC),B427,(HSUPRC))</f>
        <v>b</v>
      </c>
    </row>
    <row r="427" spans="1:2">
      <c r="A427" t="s">
        <v>581</v>
      </c>
      <c r="B427" s="18" t="str">
        <f>IF(ISBLANK(ASUPRC),"b",(ASUPRC))</f>
        <v>b</v>
      </c>
    </row>
    <row r="428" spans="1:2">
      <c r="A428" s="72" t="s">
        <v>776</v>
      </c>
      <c r="B428" s="86" t="str">
        <f>IF((LSUPR+LSUPRB+LSUPRC)&gt;0,MIN(LSUPR,LSUPRB,LSUPRC),"B")</f>
        <v>B</v>
      </c>
    </row>
    <row r="429" spans="1:2">
      <c r="A429" s="72" t="s">
        <v>777</v>
      </c>
      <c r="B429" s="86" t="str">
        <f>IF((HSUPR+HSUPRB+HSUPRC)&gt;0,MAX(HSUPR,HSUPRB,HSUPRC),"B")</f>
        <v>B</v>
      </c>
    </row>
    <row r="430" spans="1:2">
      <c r="A430" s="72" t="s">
        <v>778</v>
      </c>
      <c r="B430" s="86" t="str">
        <f>IF((ASUPR+ASUPRB+ASUPRC)&gt;0,AVERAGE(ASUPR,ASUPRB,ASUPRC),"B")</f>
        <v>B</v>
      </c>
    </row>
    <row r="431" spans="1:2">
      <c r="A431" t="s">
        <v>594</v>
      </c>
      <c r="B431" s="16" t="str">
        <f>IF(ISBLANK(NLEAD),"b",(NLEAD))</f>
        <v>b</v>
      </c>
    </row>
    <row r="432" spans="1:2">
      <c r="A432" t="s">
        <v>595</v>
      </c>
      <c r="B432" s="18" t="str">
        <f>IF(ISBLANK(LLEAD),B434,(LLEAD))</f>
        <v>b</v>
      </c>
    </row>
    <row r="433" spans="1:2">
      <c r="A433" t="s">
        <v>596</v>
      </c>
      <c r="B433" s="18" t="str">
        <f>IF(ISBLANK(HLEAD),B434,(HLEAD))</f>
        <v>b</v>
      </c>
    </row>
    <row r="434" spans="1:2">
      <c r="A434" t="s">
        <v>597</v>
      </c>
      <c r="B434" s="18" t="str">
        <f>IF(ISBLANK(ALEAD),"b",(ALEAD))</f>
        <v>b</v>
      </c>
    </row>
    <row r="435" spans="1:2">
      <c r="A435" t="s">
        <v>598</v>
      </c>
      <c r="B435" s="18" t="str">
        <f>IF(ISBLANK(LLEADB),B437,(LLEADB))</f>
        <v>b</v>
      </c>
    </row>
    <row r="436" spans="1:2">
      <c r="A436" t="s">
        <v>599</v>
      </c>
      <c r="B436" s="18" t="str">
        <f>IF(ISBLANK(HLEADB),B437,(HLEADB))</f>
        <v>b</v>
      </c>
    </row>
    <row r="437" spans="1:2">
      <c r="A437" t="s">
        <v>600</v>
      </c>
      <c r="B437" s="18" t="str">
        <f>IF(ISBLANK(ALEADB),"b",(ALEADB))</f>
        <v>b</v>
      </c>
    </row>
    <row r="438" spans="1:2">
      <c r="A438" t="s">
        <v>601</v>
      </c>
      <c r="B438" s="18" t="str">
        <f>IF(ISBLANK(LLEADC),B440,(LLEADC))</f>
        <v>b</v>
      </c>
    </row>
    <row r="439" spans="1:2">
      <c r="A439" t="s">
        <v>602</v>
      </c>
      <c r="B439" s="18" t="str">
        <f>IF(ISBLANK(HLEADC),B440,(HLEADC))</f>
        <v>b</v>
      </c>
    </row>
    <row r="440" spans="1:2">
      <c r="A440" t="s">
        <v>603</v>
      </c>
      <c r="B440" s="18" t="str">
        <f>IF(ISBLANK(ALEADC),"b",(ALEADC))</f>
        <v>b</v>
      </c>
    </row>
    <row r="441" spans="1:2">
      <c r="A441" s="72" t="s">
        <v>779</v>
      </c>
      <c r="B441" s="86" t="str">
        <f>IF((LLEAD+LLEADB+LLEADC)&gt;0,MIN(LLEAD,LLEADB,LLEADC),"B")</f>
        <v>B</v>
      </c>
    </row>
    <row r="442" spans="1:2">
      <c r="A442" s="72" t="s">
        <v>780</v>
      </c>
      <c r="B442" s="86" t="str">
        <f>IF((HLEAD+HLEADB+HLEADC)&gt;0,MAX(HLEAD,HLEADB,HLEADC),"B")</f>
        <v>B</v>
      </c>
    </row>
    <row r="443" spans="1:2">
      <c r="A443" s="72" t="s">
        <v>781</v>
      </c>
      <c r="B443" s="86" t="str">
        <f>IF((ALEAD+ALEADB+ALEADC)&gt;0,AVERAGE(ALEAD,ALEADB,ALEADC),"B")</f>
        <v>B</v>
      </c>
    </row>
    <row r="444" spans="1:2">
      <c r="A444" t="s">
        <v>250</v>
      </c>
      <c r="B444" s="16" t="str">
        <f>IF(ISBLANK(NWELD),"b",(NWELD))</f>
        <v>b</v>
      </c>
    </row>
    <row r="445" spans="1:2">
      <c r="A445" t="s">
        <v>566</v>
      </c>
      <c r="B445" s="18" t="str">
        <f>IF(ISBLANK(LWELD),B447,(LWELD))</f>
        <v>b</v>
      </c>
    </row>
    <row r="446" spans="1:2">
      <c r="A446" t="s">
        <v>567</v>
      </c>
      <c r="B446" s="18" t="str">
        <f>IF(ISBLANK(HWELD),B447,(HWELD))</f>
        <v>b</v>
      </c>
    </row>
    <row r="447" spans="1:2">
      <c r="A447" t="s">
        <v>343</v>
      </c>
      <c r="B447" s="18" t="str">
        <f>IF(ISBLANK(AWELD),"b",(AWELD))</f>
        <v>b</v>
      </c>
    </row>
    <row r="448" spans="1:2">
      <c r="A448" t="s">
        <v>582</v>
      </c>
      <c r="B448" s="18" t="str">
        <f>IF(ISBLANK(LWELDB),B450,(LWELDB))</f>
        <v>b</v>
      </c>
    </row>
    <row r="449" spans="1:2">
      <c r="A449" t="s">
        <v>583</v>
      </c>
      <c r="B449" s="18" t="str">
        <f>IF(ISBLANK(HWELDB),B450,(HWELDB))</f>
        <v>b</v>
      </c>
    </row>
    <row r="450" spans="1:2">
      <c r="A450" t="s">
        <v>584</v>
      </c>
      <c r="B450" s="18" t="str">
        <f>IF(ISBLANK(AWELDB),"b",(AWELDB))</f>
        <v>b</v>
      </c>
    </row>
    <row r="451" spans="1:2">
      <c r="A451" t="s">
        <v>585</v>
      </c>
      <c r="B451" s="18" t="str">
        <f>IF(ISBLANK(LWELDC),B453,(LWELDC))</f>
        <v>b</v>
      </c>
    </row>
    <row r="452" spans="1:2">
      <c r="A452" t="s">
        <v>586</v>
      </c>
      <c r="B452" s="18" t="str">
        <f>IF(ISBLANK(HWELDC),B453,(HWELDC))</f>
        <v>b</v>
      </c>
    </row>
    <row r="453" spans="1:2">
      <c r="A453" t="s">
        <v>587</v>
      </c>
      <c r="B453" s="18" t="str">
        <f>IF(ISBLANK(AWELDC),"b",(AWELDC))</f>
        <v>b</v>
      </c>
    </row>
    <row r="454" spans="1:2">
      <c r="A454" s="72" t="s">
        <v>782</v>
      </c>
      <c r="B454" s="86" t="str">
        <f>IF((LWELD+LWELDB+LWELDC)&gt;0,MIN(LWELD,LWELDB,LWELDC),"B")</f>
        <v>B</v>
      </c>
    </row>
    <row r="455" spans="1:2">
      <c r="A455" s="72" t="s">
        <v>783</v>
      </c>
      <c r="B455" s="86" t="str">
        <f>IF((HWELD+HWELDB+HWELDC)&gt;0,MAX(HWELD,HWELDB,HWELDC),"B")</f>
        <v>B</v>
      </c>
    </row>
    <row r="456" spans="1:2">
      <c r="A456" s="72" t="s">
        <v>784</v>
      </c>
      <c r="B456" s="86" t="str">
        <f>IF((AWELD+AWELDB+AWELDC)&gt;0,AVERAGE(AWELD,AWELDB,AWELDC),"B")</f>
        <v>B</v>
      </c>
    </row>
    <row r="457" spans="1:2">
      <c r="A457" t="s">
        <v>350</v>
      </c>
      <c r="B457" s="16" t="str">
        <f>IF(ISBLANK(NPUR),"b",(NPUR))</f>
        <v>b</v>
      </c>
    </row>
    <row r="458" spans="1:2">
      <c r="A458" t="s">
        <v>568</v>
      </c>
      <c r="B458" s="18" t="str">
        <f>IF(ISBLANK(LPUR),B460,(LPUR))</f>
        <v>b</v>
      </c>
    </row>
    <row r="459" spans="1:2">
      <c r="A459" t="s">
        <v>569</v>
      </c>
      <c r="B459" s="18" t="str">
        <f>IF(ISBLANK(HPUR),B460,(HPUR))</f>
        <v>b</v>
      </c>
    </row>
    <row r="460" spans="1:2">
      <c r="A460" t="s">
        <v>351</v>
      </c>
      <c r="B460" s="18" t="str">
        <f>IF(ISBLANK(APUR),"b",(APUR))</f>
        <v>b</v>
      </c>
    </row>
    <row r="461" spans="1:2">
      <c r="A461" t="s">
        <v>588</v>
      </c>
      <c r="B461" s="18" t="str">
        <f>IF(ISBLANK(LPURB),B463,(LPURB))</f>
        <v>b</v>
      </c>
    </row>
    <row r="462" spans="1:2">
      <c r="A462" t="s">
        <v>589</v>
      </c>
      <c r="B462" s="18" t="str">
        <f>IF(ISBLANK(HPURB),B463,(HPURB))</f>
        <v>b</v>
      </c>
    </row>
    <row r="463" spans="1:2">
      <c r="A463" t="s">
        <v>590</v>
      </c>
      <c r="B463" s="18" t="str">
        <f>IF(ISBLANK(APURB),"b",(APURB))</f>
        <v>b</v>
      </c>
    </row>
    <row r="464" spans="1:2">
      <c r="A464" t="s">
        <v>591</v>
      </c>
      <c r="B464" s="18" t="str">
        <f>IF(ISBLANK(LPURC),B466,(LPURC))</f>
        <v>b</v>
      </c>
    </row>
    <row r="465" spans="1:2">
      <c r="A465" t="s">
        <v>592</v>
      </c>
      <c r="B465" s="18" t="str">
        <f>IF(ISBLANK(HPURC),B466,(HPURC))</f>
        <v>b</v>
      </c>
    </row>
    <row r="466" spans="1:2">
      <c r="A466" t="s">
        <v>593</v>
      </c>
      <c r="B466" s="18" t="str">
        <f>IF(ISBLANK(APURC),"b",(APURC))</f>
        <v>b</v>
      </c>
    </row>
    <row r="467" spans="1:2">
      <c r="A467" s="72" t="s">
        <v>785</v>
      </c>
      <c r="B467" s="86" t="str">
        <f>IF((LPUR+LPURB+LPURC)&gt;0,MIN(LPUR,LPURB,LPURC),"B")</f>
        <v>B</v>
      </c>
    </row>
    <row r="468" spans="1:2">
      <c r="A468" s="72" t="s">
        <v>786</v>
      </c>
      <c r="B468" s="86" t="str">
        <f>IF((HPUR+HPURB+HPURC)&gt;0,MAX(HPUR,HPURB,HPURC),"B")</f>
        <v>B</v>
      </c>
    </row>
    <row r="469" spans="1:2">
      <c r="A469" s="72" t="s">
        <v>787</v>
      </c>
      <c r="B469" s="86" t="str">
        <f>IF((APUR+APURB+APURC)&gt;0,AVERAGE(APUR,APURB,APURC),"B")</f>
        <v>B</v>
      </c>
    </row>
    <row r="470" spans="1:2">
      <c r="A470" s="2" t="s">
        <v>251</v>
      </c>
      <c r="B470" s="31" t="str">
        <f>IF(ISBLANK(CAF),"b",IF((CAF="Y"),1,0))</f>
        <v>b</v>
      </c>
    </row>
    <row r="471" spans="1:2">
      <c r="A471" t="s">
        <v>252</v>
      </c>
      <c r="B471" s="31" t="str">
        <f>IF(ISBLANK(HSACONT),"b",IF((HSACONT="Y"),1,0))</f>
        <v>b</v>
      </c>
    </row>
    <row r="472" spans="1:2">
      <c r="A472" t="s">
        <v>253</v>
      </c>
      <c r="B472" s="18" t="str">
        <f>IF(ISBLANK(SINGLE),"b",(SINGLE))</f>
        <v>b</v>
      </c>
    </row>
    <row r="473" spans="1:2">
      <c r="A473" t="s">
        <v>254</v>
      </c>
      <c r="B473" s="18" t="str">
        <f>IF(ISBLANK(SPOUSE),"b",(SPOUSE))</f>
        <v>b</v>
      </c>
    </row>
    <row r="474" spans="1:2">
      <c r="A474" t="s">
        <v>255</v>
      </c>
      <c r="B474" s="18" t="str">
        <f>IF(ISBLANK(EMPCHILD),"b",(EMPCHILD))</f>
        <v>b</v>
      </c>
    </row>
    <row r="475" spans="1:2">
      <c r="A475" t="s">
        <v>256</v>
      </c>
      <c r="B475" s="18" t="str">
        <f>IF(ISBLANK(FAMILY),"b",(FAMILY))</f>
        <v>b</v>
      </c>
    </row>
    <row r="476" spans="1:2">
      <c r="A476" t="s">
        <v>257</v>
      </c>
      <c r="B476" s="31" t="str">
        <f>IF(ISBLANK(NUM),"b",(NUM))</f>
        <v>b</v>
      </c>
    </row>
    <row r="477" spans="1:2">
      <c r="A477" s="1" t="s">
        <v>361</v>
      </c>
      <c r="B477" s="31" t="str">
        <f>IF(ISBLANK(MED),"b",IF((MED="Y"),1,0))</f>
        <v>b</v>
      </c>
    </row>
    <row r="478" spans="1:2">
      <c r="A478" t="s">
        <v>258</v>
      </c>
      <c r="B478" s="31" t="str">
        <f>IF(ISBLANK(DEP),"b",IF((DEP="Y"),1,0))</f>
        <v>b</v>
      </c>
    </row>
    <row r="479" spans="1:2">
      <c r="A479" t="s">
        <v>259</v>
      </c>
      <c r="B479" s="31" t="str">
        <f>IF(ISBLANK(CARD),"b",IF((CARD="Y"),1,0))</f>
        <v>b</v>
      </c>
    </row>
    <row r="480" spans="1:2">
      <c r="A480" t="s">
        <v>260</v>
      </c>
      <c r="B480" s="31" t="str">
        <f>IF(ISBLANK(DENTAL),"b",IF((DENTAL="Y"),1,0))</f>
        <v>b</v>
      </c>
    </row>
    <row r="481" spans="1:2">
      <c r="A481" t="s">
        <v>261</v>
      </c>
      <c r="B481" s="31" t="str">
        <f>IF(ISBLANK(EYE),"b",IF((EYE="Y"),1,0))</f>
        <v>b</v>
      </c>
    </row>
    <row r="482" spans="1:2">
      <c r="A482" t="s">
        <v>262</v>
      </c>
      <c r="B482" s="31" t="str">
        <f>IF(ISBLANK(LIFE),"b",IF((LIFE="Y"),1,0))</f>
        <v>b</v>
      </c>
    </row>
    <row r="483" spans="1:2">
      <c r="A483" t="s">
        <v>263</v>
      </c>
      <c r="B483" s="31" t="str">
        <f>IF(ISBLANK(LTD),"b",IF((LTD="Y"),1,0))</f>
        <v>b</v>
      </c>
    </row>
    <row r="484" spans="1:2">
      <c r="A484" t="s">
        <v>264</v>
      </c>
      <c r="B484" s="31" t="str">
        <f>IF(ISBLANK(STD),"b",IF((STD="Y"),1,0))</f>
        <v>b</v>
      </c>
    </row>
    <row r="485" spans="1:2">
      <c r="A485" t="s">
        <v>265</v>
      </c>
      <c r="B485" s="31" t="str">
        <f>IF(ISBLANK(EAP),"b",IF((EAP="Y"),1,0))</f>
        <v>b</v>
      </c>
    </row>
    <row r="486" spans="1:2">
      <c r="A486" t="s">
        <v>362</v>
      </c>
      <c r="B486" s="16" t="str">
        <f>IF(ISBLANK(EMED),"b",(EMED))</f>
        <v>b</v>
      </c>
    </row>
    <row r="487" spans="1:2">
      <c r="A487" t="s">
        <v>266</v>
      </c>
      <c r="B487" s="16" t="str">
        <f>IF(ISBLANK(EDEP),"b",(EDEP))</f>
        <v>b</v>
      </c>
    </row>
    <row r="488" spans="1:2">
      <c r="A488" t="s">
        <v>267</v>
      </c>
      <c r="B488" s="16" t="str">
        <f>IF(ISBLANK(ECARD),"b",(ECARD))</f>
        <v>b</v>
      </c>
    </row>
    <row r="489" spans="1:2">
      <c r="A489" t="s">
        <v>268</v>
      </c>
      <c r="B489" s="16" t="str">
        <f>IF(ISBLANK(EDENT),"b",(EDENT))</f>
        <v>b</v>
      </c>
    </row>
    <row r="490" spans="1:2">
      <c r="A490" t="s">
        <v>269</v>
      </c>
      <c r="B490" s="16" t="str">
        <f>IF(ISBLANK(EEYE),"b",(EEYE))</f>
        <v>b</v>
      </c>
    </row>
    <row r="491" spans="1:2">
      <c r="A491" t="s">
        <v>270</v>
      </c>
      <c r="B491" s="16" t="str">
        <f>IF(ISBLANK(ELIFE),"b",(ELIFE))</f>
        <v>b</v>
      </c>
    </row>
    <row r="492" spans="1:2">
      <c r="A492" t="s">
        <v>271</v>
      </c>
      <c r="B492" s="16" t="str">
        <f>IF(ISBLANK(ELTD),"b",(ELTD))</f>
        <v>b</v>
      </c>
    </row>
    <row r="493" spans="1:2">
      <c r="A493" t="s">
        <v>272</v>
      </c>
      <c r="B493" s="16" t="str">
        <f>IF(ISBLANK(ESTD),"b",(ESTD))</f>
        <v>b</v>
      </c>
    </row>
    <row r="494" spans="1:2">
      <c r="A494" t="s">
        <v>273</v>
      </c>
      <c r="B494" s="16" t="str">
        <f>IF(ISBLANK(EEAP),"b",(EEAP))</f>
        <v>b</v>
      </c>
    </row>
    <row r="495" spans="1:2">
      <c r="A495" s="1" t="s">
        <v>363</v>
      </c>
      <c r="B495" s="10" t="str">
        <f>IF(ISBLANK(DMED),"b",(DMED))</f>
        <v>b</v>
      </c>
    </row>
    <row r="496" spans="1:2">
      <c r="A496" t="s">
        <v>274</v>
      </c>
      <c r="B496" s="10" t="str">
        <f>IF(ISBLANK(DDEP),"b",(DDEP))</f>
        <v>b</v>
      </c>
    </row>
    <row r="497" spans="1:2">
      <c r="A497" t="s">
        <v>275</v>
      </c>
      <c r="B497" s="10" t="str">
        <f>IF(ISBLANK(DCARD),"b",(DCARD))</f>
        <v>b</v>
      </c>
    </row>
    <row r="498" spans="1:2">
      <c r="A498" t="s">
        <v>276</v>
      </c>
      <c r="B498" s="10" t="str">
        <f>IF(ISBLANK(DDENT),"b",(DDENT))</f>
        <v>b</v>
      </c>
    </row>
    <row r="499" spans="1:2">
      <c r="A499" t="s">
        <v>277</v>
      </c>
      <c r="B499" s="10" t="str">
        <f>IF(ISBLANK(DEYE),"b",(DEYE))</f>
        <v>b</v>
      </c>
    </row>
    <row r="500" spans="1:2">
      <c r="A500" t="s">
        <v>364</v>
      </c>
      <c r="B500" s="10" t="str">
        <f>IF(ISBLANK(MEDCO),"b",(MEDCO))</f>
        <v>b</v>
      </c>
    </row>
    <row r="501" spans="1:2">
      <c r="A501" t="s">
        <v>278</v>
      </c>
      <c r="B501" s="10" t="str">
        <f>IF(ISBLANK(DEPCO),"b",(DEPCO))</f>
        <v>b</v>
      </c>
    </row>
    <row r="502" spans="1:2">
      <c r="A502" t="s">
        <v>279</v>
      </c>
      <c r="B502" s="10" t="str">
        <f>IF(ISBLANK(CARDCO),"b",(CARDCO))</f>
        <v>b</v>
      </c>
    </row>
    <row r="503" spans="1:2">
      <c r="A503" t="s">
        <v>280</v>
      </c>
      <c r="B503" s="10" t="str">
        <f>IF(ISBLANK(GENCO),"b",(GENCO))</f>
        <v>b</v>
      </c>
    </row>
    <row r="504" spans="1:2">
      <c r="A504" t="s">
        <v>281</v>
      </c>
      <c r="B504" s="10" t="str">
        <f>IF(ISBLANK(DENTCO),"b",(DENTCO))</f>
        <v>b</v>
      </c>
    </row>
    <row r="505" spans="1:2">
      <c r="A505" t="s">
        <v>282</v>
      </c>
      <c r="B505" s="10" t="str">
        <f>IF(ISBLANK(EYECO),"b",(EYECO))</f>
        <v>b</v>
      </c>
    </row>
    <row r="506" spans="1:2">
      <c r="A506" t="s">
        <v>283</v>
      </c>
      <c r="B506" s="31" t="str">
        <f>IF(ISBLANK(DEFINED),"b",IF((DEFINED="Y"),1,0))</f>
        <v>b</v>
      </c>
    </row>
    <row r="507" spans="1:2">
      <c r="A507" t="s">
        <v>284</v>
      </c>
      <c r="B507" s="31" t="str">
        <f>IF(ISBLANK(SEP),"b",IF((SEP="Y"),1,0))</f>
        <v>b</v>
      </c>
    </row>
    <row r="508" spans="1:2">
      <c r="A508" t="s">
        <v>285</v>
      </c>
      <c r="B508" s="31" t="str">
        <f>IF(ISBLANK(SHARING),"b",IF((SHARING="Y"),1,0))</f>
        <v>b</v>
      </c>
    </row>
    <row r="509" spans="1:2">
      <c r="A509" t="s">
        <v>286</v>
      </c>
      <c r="B509" s="31" t="str">
        <f>IF(ISBLANK(MONEY),"b",IF((MONEY="Y"),1,0))</f>
        <v>b</v>
      </c>
    </row>
    <row r="510" spans="1:2">
      <c r="A510" t="s">
        <v>348</v>
      </c>
      <c r="B510" s="31" t="str">
        <f>IF(ISBLANK(K401K),"b",IF((K401K="Y"),1,0))</f>
        <v>b</v>
      </c>
    </row>
    <row r="511" spans="1:2">
      <c r="A511" t="s">
        <v>287</v>
      </c>
      <c r="B511" s="18" t="str">
        <f>IF(ISBLANK(K401DOL),"b",(K401DOL))</f>
        <v>b</v>
      </c>
    </row>
    <row r="512" spans="1:2">
      <c r="A512" t="s">
        <v>288</v>
      </c>
      <c r="B512" s="16" t="str">
        <f>IF(ISBLANK(K401PCT),"b",(K401PCT))</f>
        <v>b</v>
      </c>
    </row>
    <row r="513" spans="1:2">
      <c r="A513" t="s">
        <v>807</v>
      </c>
      <c r="B513" s="10" t="str">
        <f>IF(ISBLANK(K401CONT),"b",IF((K401CONT="Y"),1,0))</f>
        <v>b</v>
      </c>
    </row>
    <row r="514" spans="1:2">
      <c r="A514" t="s">
        <v>289</v>
      </c>
      <c r="B514" s="31" t="str">
        <f>IF(ISBLANK(PREMED),"b",IF((PREMED="Y"),1,0))</f>
        <v>b</v>
      </c>
    </row>
    <row r="515" spans="1:2">
      <c r="A515" t="s">
        <v>290</v>
      </c>
      <c r="B515" s="31" t="str">
        <f>IF(ISBLANK(PRECARE),"b",IF((PRECARE="Y"),1,0))</f>
        <v>b</v>
      </c>
    </row>
    <row r="516" spans="1:2">
      <c r="A516" t="s">
        <v>291</v>
      </c>
      <c r="B516" s="31" t="str">
        <f>IF(ISBLANK(ED),"b",IF((ED="Y"),1,0))</f>
        <v>b</v>
      </c>
    </row>
    <row r="517" spans="1:2">
      <c r="A517" t="s">
        <v>292</v>
      </c>
      <c r="B517" s="31" t="str">
        <f>IF(ISBLANK(CSL),"b",IF((CSL="Y"),1,0))</f>
        <v>b</v>
      </c>
    </row>
    <row r="518" spans="1:2">
      <c r="A518" t="s">
        <v>293</v>
      </c>
      <c r="B518" s="31" t="str">
        <f>IF(ISBLANK(CTR),"b",IF((CTR="Y"),1,0))</f>
        <v>b</v>
      </c>
    </row>
    <row r="519" spans="1:2">
      <c r="A519" t="s">
        <v>294</v>
      </c>
      <c r="B519" s="31" t="str">
        <f>IF(ISBLANK(COMB),"b",IF((COMB="Y"),1,0))</f>
        <v>b</v>
      </c>
    </row>
    <row r="520" spans="1:2">
      <c r="A520" t="s">
        <v>295</v>
      </c>
      <c r="B520" s="16" t="str">
        <f>IF(ISBLANK(WK1_a),"b",(WK1_a))</f>
        <v>b</v>
      </c>
    </row>
    <row r="521" spans="1:2">
      <c r="A521" t="s">
        <v>296</v>
      </c>
      <c r="B521" s="31" t="str">
        <f>IF(ISBLANK(WK2_a),"b",(WK2_a))</f>
        <v>b</v>
      </c>
    </row>
    <row r="522" spans="1:2">
      <c r="A522" t="s">
        <v>297</v>
      </c>
      <c r="B522" s="31" t="str">
        <f>IF(ISBLANK(WK3_a),"b",(WK3_a))</f>
        <v>b</v>
      </c>
    </row>
    <row r="523" spans="1:2">
      <c r="A523" t="s">
        <v>298</v>
      </c>
      <c r="B523" s="31" t="str">
        <f>IF(ISBLANK(WK4_a),"b",(WK4_a))</f>
        <v>b</v>
      </c>
    </row>
    <row r="524" spans="1:2">
      <c r="A524" t="s">
        <v>299</v>
      </c>
      <c r="B524" s="31" t="str">
        <f>IF(ISBLANK(WK5_a),"b",(WK5_a))</f>
        <v>b</v>
      </c>
    </row>
    <row r="525" spans="1:2">
      <c r="A525" t="s">
        <v>300</v>
      </c>
      <c r="B525" s="31">
        <f>IF(ISBLANK(WK4_a),0,1)</f>
        <v>0</v>
      </c>
    </row>
    <row r="526" spans="1:2">
      <c r="A526" t="s">
        <v>301</v>
      </c>
      <c r="B526" s="31">
        <f>IF(ISBLANK(WK5_a),0,1)</f>
        <v>0</v>
      </c>
    </row>
    <row r="527" spans="1:2">
      <c r="A527" t="s">
        <v>302</v>
      </c>
      <c r="B527" s="31" t="str">
        <f>IF(ISBLANK(VAC),"b",(VAC))</f>
        <v>b</v>
      </c>
    </row>
    <row r="528" spans="1:2">
      <c r="A528" t="s">
        <v>303</v>
      </c>
      <c r="B528" s="31" t="str">
        <f>IF(ISBLANK(ACCUM),"b",IF((ACCUM="Y"),1,0))</f>
        <v>b</v>
      </c>
    </row>
    <row r="529" spans="1:2">
      <c r="A529" t="s">
        <v>304</v>
      </c>
      <c r="B529" s="31" t="str">
        <f>IF(ISBLANK(HOL),"b",(HOL))</f>
        <v>b</v>
      </c>
    </row>
    <row r="530" spans="1:2">
      <c r="A530" t="s">
        <v>305</v>
      </c>
      <c r="B530" s="31" t="str">
        <f>IF(ISBLANK(SICK),"b",IF((SICK="Y"),1,0))</f>
        <v>b</v>
      </c>
    </row>
    <row r="531" spans="1:2">
      <c r="A531" t="s">
        <v>306</v>
      </c>
      <c r="B531" s="31" t="str">
        <f>IF(ISBLANK(SDAYS),"b",(SDAYS))</f>
        <v>b</v>
      </c>
    </row>
    <row r="533" spans="1:2">
      <c r="A533" s="369" t="s">
        <v>850</v>
      </c>
      <c r="B533" s="16" t="str">
        <f>IF(ISBLANK(NPBO),"b",(NPBO))</f>
        <v>b</v>
      </c>
    </row>
    <row r="534" spans="1:2">
      <c r="A534" s="369" t="s">
        <v>851</v>
      </c>
      <c r="B534" s="18" t="str">
        <f>IF(ISBLANK(LPBO),B536,(LPBO))</f>
        <v>b</v>
      </c>
    </row>
    <row r="535" spans="1:2">
      <c r="A535" s="369" t="s">
        <v>852</v>
      </c>
      <c r="B535" s="18" t="str">
        <f>IF(ISBLANK(HPBO),B536,(HPBO))</f>
        <v>b</v>
      </c>
    </row>
    <row r="536" spans="1:2">
      <c r="A536" s="369" t="s">
        <v>853</v>
      </c>
      <c r="B536" s="18" t="str">
        <f>IF(ISBLANK(APBO),"b",(APBO))</f>
        <v>b</v>
      </c>
    </row>
    <row r="537" spans="1:2">
      <c r="A537" s="369" t="s">
        <v>854</v>
      </c>
      <c r="B537" s="16" t="str">
        <f>IF(ISBLANK(NWJO),"b",(NWJO))</f>
        <v>b</v>
      </c>
    </row>
    <row r="538" spans="1:2">
      <c r="A538" s="369" t="s">
        <v>855</v>
      </c>
      <c r="B538" s="18" t="str">
        <f>IF(ISBLANK(LWJO),B540,(LWJO))</f>
        <v>b</v>
      </c>
    </row>
    <row r="539" spans="1:2">
      <c r="A539" s="369" t="s">
        <v>856</v>
      </c>
      <c r="B539" s="18" t="str">
        <f>IF(ISBLANK(HWJO),B540,(HWJO))</f>
        <v>b</v>
      </c>
    </row>
    <row r="540" spans="1:2">
      <c r="A540" s="369" t="s">
        <v>857</v>
      </c>
      <c r="B540" s="18" t="str">
        <f>IF(ISBLANK(AWJO),"b",(AWJO))</f>
        <v>b</v>
      </c>
    </row>
    <row r="541" spans="1:2">
      <c r="A541" s="369" t="s">
        <v>858</v>
      </c>
      <c r="B541" s="16" t="str">
        <f>IF(ISBLANK(NPPO),"b",(NPPO))</f>
        <v>b</v>
      </c>
    </row>
    <row r="542" spans="1:2">
      <c r="A542" s="369" t="s">
        <v>859</v>
      </c>
      <c r="B542" s="18" t="str">
        <f>IF(ISBLANK(LPPO),B544,(LPPO))</f>
        <v>b</v>
      </c>
    </row>
    <row r="543" spans="1:2">
      <c r="A543" s="369" t="s">
        <v>860</v>
      </c>
      <c r="B543" s="18" t="str">
        <f>IF(ISBLANK(HPPO),B544,(HPPO))</f>
        <v>b</v>
      </c>
    </row>
    <row r="544" spans="1:2">
      <c r="A544" s="369" t="s">
        <v>861</v>
      </c>
      <c r="B544" s="18" t="str">
        <f>IF(ISBLANK(APPO),"b",(APPO))</f>
        <v>b</v>
      </c>
    </row>
  </sheetData>
  <phoneticPr fontId="12" type="noConversion"/>
  <pageMargins left="0.5" right="0.5" top="0.25" bottom="0.25" header="0.25" footer="0.2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510</vt:i4>
      </vt:variant>
    </vt:vector>
  </HeadingPairs>
  <TitlesOfParts>
    <vt:vector size="516" baseType="lpstr">
      <vt:lpstr>Overview</vt:lpstr>
      <vt:lpstr>Genl Info</vt:lpstr>
      <vt:lpstr>Plant Wages</vt:lpstr>
      <vt:lpstr>Benefits</vt:lpstr>
      <vt:lpstr>Print</vt:lpstr>
      <vt:lpstr>Data</vt:lpstr>
      <vt:lpstr>AALL</vt:lpstr>
      <vt:lpstr>AALLB</vt:lpstr>
      <vt:lpstr>AALLC</vt:lpstr>
      <vt:lpstr>AASSM</vt:lpstr>
      <vt:lpstr>AASSMB</vt:lpstr>
      <vt:lpstr>AASSMC</vt:lpstr>
      <vt:lpstr>ABLAN</vt:lpstr>
      <vt:lpstr>ABLANB</vt:lpstr>
      <vt:lpstr>ABLANC</vt:lpstr>
      <vt:lpstr>ACCUM</vt:lpstr>
      <vt:lpstr>ACNC</vt:lpstr>
      <vt:lpstr>ACNCB</vt:lpstr>
      <vt:lpstr>ACNCC</vt:lpstr>
      <vt:lpstr>ACYL</vt:lpstr>
      <vt:lpstr>ACYLB</vt:lpstr>
      <vt:lpstr>ACYLC</vt:lpstr>
      <vt:lpstr>ADDR1</vt:lpstr>
      <vt:lpstr>ADDR2</vt:lpstr>
      <vt:lpstr>ADEBUR</vt:lpstr>
      <vt:lpstr>ADEBURB</vt:lpstr>
      <vt:lpstr>ADEBURC</vt:lpstr>
      <vt:lpstr>ADIE</vt:lpstr>
      <vt:lpstr>ADIEB</vt:lpstr>
      <vt:lpstr>ADIEC</vt:lpstr>
      <vt:lpstr>AEDM</vt:lpstr>
      <vt:lpstr>AEDMB</vt:lpstr>
      <vt:lpstr>AEDMC</vt:lpstr>
      <vt:lpstr>AELEC</vt:lpstr>
      <vt:lpstr>AELECB</vt:lpstr>
      <vt:lpstr>AELECC</vt:lpstr>
      <vt:lpstr>AENG</vt:lpstr>
      <vt:lpstr>AENGB</vt:lpstr>
      <vt:lpstr>AENGC</vt:lpstr>
      <vt:lpstr>AERO</vt:lpstr>
      <vt:lpstr>AFIRST</vt:lpstr>
      <vt:lpstr>AFIRSTB</vt:lpstr>
      <vt:lpstr>AFIRSTC</vt:lpstr>
      <vt:lpstr>AFIVE</vt:lpstr>
      <vt:lpstr>AFIVEB</vt:lpstr>
      <vt:lpstr>AFIVEC</vt:lpstr>
      <vt:lpstr>AFORTH</vt:lpstr>
      <vt:lpstr>AFOURTH</vt:lpstr>
      <vt:lpstr>AFOURTHB</vt:lpstr>
      <vt:lpstr>AFOURTHC</vt:lpstr>
      <vt:lpstr>AHMC</vt:lpstr>
      <vt:lpstr>AHMCB</vt:lpstr>
      <vt:lpstr>AHMCC</vt:lpstr>
      <vt:lpstr>AINSP</vt:lpstr>
      <vt:lpstr>AINSPB</vt:lpstr>
      <vt:lpstr>AINSPC</vt:lpstr>
      <vt:lpstr>ALEAD</vt:lpstr>
      <vt:lpstr>ALEADB</vt:lpstr>
      <vt:lpstr>ALEADC</vt:lpstr>
      <vt:lpstr>AMACH</vt:lpstr>
      <vt:lpstr>AMAIN</vt:lpstr>
      <vt:lpstr>AMAINB</vt:lpstr>
      <vt:lpstr>AMAINC</vt:lpstr>
      <vt:lpstr>AMOLD</vt:lpstr>
      <vt:lpstr>AMOLDB</vt:lpstr>
      <vt:lpstr>AMOLDC</vt:lpstr>
      <vt:lpstr>AMULTI</vt:lpstr>
      <vt:lpstr>AMULTIB</vt:lpstr>
      <vt:lpstr>AMULTIC</vt:lpstr>
      <vt:lpstr>APBO</vt:lpstr>
      <vt:lpstr>APOL</vt:lpstr>
      <vt:lpstr>APOLB</vt:lpstr>
      <vt:lpstr>APOLC</vt:lpstr>
      <vt:lpstr>APPO</vt:lpstr>
      <vt:lpstr>APROG</vt:lpstr>
      <vt:lpstr>APROGB</vt:lpstr>
      <vt:lpstr>APROGC</vt:lpstr>
      <vt:lpstr>APUR</vt:lpstr>
      <vt:lpstr>APURB</vt:lpstr>
      <vt:lpstr>APURC</vt:lpstr>
      <vt:lpstr>ARTM</vt:lpstr>
      <vt:lpstr>ARTMB</vt:lpstr>
      <vt:lpstr>ARTMC</vt:lpstr>
      <vt:lpstr>ASAW</vt:lpstr>
      <vt:lpstr>ASAWB</vt:lpstr>
      <vt:lpstr>ASAWC</vt:lpstr>
      <vt:lpstr>ASECOND</vt:lpstr>
      <vt:lpstr>ASECONDB</vt:lpstr>
      <vt:lpstr>ASECONDC</vt:lpstr>
      <vt:lpstr>ASHIP</vt:lpstr>
      <vt:lpstr>ASHIPB</vt:lpstr>
      <vt:lpstr>ASHIPC</vt:lpstr>
      <vt:lpstr>ASUPR</vt:lpstr>
      <vt:lpstr>ASUPRB</vt:lpstr>
      <vt:lpstr>ASUPRC</vt:lpstr>
      <vt:lpstr>ASUR</vt:lpstr>
      <vt:lpstr>ASURB</vt:lpstr>
      <vt:lpstr>ASURC</vt:lpstr>
      <vt:lpstr>ASWIS</vt:lpstr>
      <vt:lpstr>ASWISB</vt:lpstr>
      <vt:lpstr>ASWISC</vt:lpstr>
      <vt:lpstr>ATHA</vt:lpstr>
      <vt:lpstr>ATHIRD</vt:lpstr>
      <vt:lpstr>ATHIRDB</vt:lpstr>
      <vt:lpstr>ATHIRDC</vt:lpstr>
      <vt:lpstr>ATOOL</vt:lpstr>
      <vt:lpstr>ATOOLB</vt:lpstr>
      <vt:lpstr>ATOOLC</vt:lpstr>
      <vt:lpstr>ATURN</vt:lpstr>
      <vt:lpstr>ATURNB</vt:lpstr>
      <vt:lpstr>ATURNC</vt:lpstr>
      <vt:lpstr>AVMC</vt:lpstr>
      <vt:lpstr>AVMCB</vt:lpstr>
      <vt:lpstr>AVMCC</vt:lpstr>
      <vt:lpstr>AWELD</vt:lpstr>
      <vt:lpstr>AWELDB</vt:lpstr>
      <vt:lpstr>AWELDC</vt:lpstr>
      <vt:lpstr>AWJO</vt:lpstr>
      <vt:lpstr>BEGEMP</vt:lpstr>
      <vt:lpstr>BUDGET</vt:lpstr>
      <vt:lpstr>CAF</vt:lpstr>
      <vt:lpstr>CARD</vt:lpstr>
      <vt:lpstr>CARDCO</vt:lpstr>
      <vt:lpstr>CHILD</vt:lpstr>
      <vt:lpstr>CITY</vt:lpstr>
      <vt:lpstr>COMB</vt:lpstr>
      <vt:lpstr>COMPANY</vt:lpstr>
      <vt:lpstr>CSH</vt:lpstr>
      <vt:lpstr>CSL</vt:lpstr>
      <vt:lpstr>CTR</vt:lpstr>
      <vt:lpstr>DCARD</vt:lpstr>
      <vt:lpstr>DDENT</vt:lpstr>
      <vt:lpstr>DDEP</vt:lpstr>
      <vt:lpstr>DEFINED</vt:lpstr>
      <vt:lpstr>DENTAL</vt:lpstr>
      <vt:lpstr>DENTCO</vt:lpstr>
      <vt:lpstr>DEP</vt:lpstr>
      <vt:lpstr>DEPCO</vt:lpstr>
      <vt:lpstr>DEPO</vt:lpstr>
      <vt:lpstr>DEYE</vt:lpstr>
      <vt:lpstr>DHMO</vt:lpstr>
      <vt:lpstr>DHSA</vt:lpstr>
      <vt:lpstr>DMED</vt:lpstr>
      <vt:lpstr>DPOS</vt:lpstr>
      <vt:lpstr>DPPO</vt:lpstr>
      <vt:lpstr>DRMIC</vt:lpstr>
      <vt:lpstr>DTRAD</vt:lpstr>
      <vt:lpstr>EALL</vt:lpstr>
      <vt:lpstr>EAP</vt:lpstr>
      <vt:lpstr>ECARD</vt:lpstr>
      <vt:lpstr>ED</vt:lpstr>
      <vt:lpstr>EDENT</vt:lpstr>
      <vt:lpstr>EDEP</vt:lpstr>
      <vt:lpstr>EEAP</vt:lpstr>
      <vt:lpstr>EEPO</vt:lpstr>
      <vt:lpstr>EEYE</vt:lpstr>
      <vt:lpstr>EHMO</vt:lpstr>
      <vt:lpstr>EHSA</vt:lpstr>
      <vt:lpstr>ELIFE</vt:lpstr>
      <vt:lpstr>ELIG</vt:lpstr>
      <vt:lpstr>ELTD</vt:lpstr>
      <vt:lpstr>EMAIL</vt:lpstr>
      <vt:lpstr>EMED</vt:lpstr>
      <vt:lpstr>EMPCHILD</vt:lpstr>
      <vt:lpstr>ENDEMP</vt:lpstr>
      <vt:lpstr>EPO</vt:lpstr>
      <vt:lpstr>EPOCO</vt:lpstr>
      <vt:lpstr>EPOS</vt:lpstr>
      <vt:lpstr>EPPO</vt:lpstr>
      <vt:lpstr>ERMIC</vt:lpstr>
      <vt:lpstr>ESTD</vt:lpstr>
      <vt:lpstr>ETRAD</vt:lpstr>
      <vt:lpstr>EYE</vt:lpstr>
      <vt:lpstr>EYECO</vt:lpstr>
      <vt:lpstr>FAMILY</vt:lpstr>
      <vt:lpstr>GENCO</vt:lpstr>
      <vt:lpstr>GENL</vt:lpstr>
      <vt:lpstr>GIFT</vt:lpstr>
      <vt:lpstr>GOOD</vt:lpstr>
      <vt:lpstr>HALL</vt:lpstr>
      <vt:lpstr>HALLB</vt:lpstr>
      <vt:lpstr>HALLC</vt:lpstr>
      <vt:lpstr>HASSM</vt:lpstr>
      <vt:lpstr>HASSMB</vt:lpstr>
      <vt:lpstr>HASSMC</vt:lpstr>
      <vt:lpstr>HBLAN</vt:lpstr>
      <vt:lpstr>HBLANB</vt:lpstr>
      <vt:lpstr>HBLANC</vt:lpstr>
      <vt:lpstr>HCNC</vt:lpstr>
      <vt:lpstr>HCNCB</vt:lpstr>
      <vt:lpstr>HCNCC</vt:lpstr>
      <vt:lpstr>HCYL</vt:lpstr>
      <vt:lpstr>HCYLB</vt:lpstr>
      <vt:lpstr>HCYLC</vt:lpstr>
      <vt:lpstr>HDEBUR</vt:lpstr>
      <vt:lpstr>HDEBURB</vt:lpstr>
      <vt:lpstr>HDEBURC</vt:lpstr>
      <vt:lpstr>HDIE</vt:lpstr>
      <vt:lpstr>HDIEB</vt:lpstr>
      <vt:lpstr>HDIEC</vt:lpstr>
      <vt:lpstr>HEDM</vt:lpstr>
      <vt:lpstr>HEDMB</vt:lpstr>
      <vt:lpstr>HEDMC</vt:lpstr>
      <vt:lpstr>HELEC</vt:lpstr>
      <vt:lpstr>HELECB</vt:lpstr>
      <vt:lpstr>HELECC</vt:lpstr>
      <vt:lpstr>HENG</vt:lpstr>
      <vt:lpstr>HENGB</vt:lpstr>
      <vt:lpstr>HENGC</vt:lpstr>
      <vt:lpstr>HFIRST</vt:lpstr>
      <vt:lpstr>HFIRSTB</vt:lpstr>
      <vt:lpstr>HFIRSTC</vt:lpstr>
      <vt:lpstr>HFIVE</vt:lpstr>
      <vt:lpstr>HFIVEB</vt:lpstr>
      <vt:lpstr>HFIVEC</vt:lpstr>
      <vt:lpstr>HFORTH</vt:lpstr>
      <vt:lpstr>HFOURTH</vt:lpstr>
      <vt:lpstr>HFOURTHB</vt:lpstr>
      <vt:lpstr>HFOURTHC</vt:lpstr>
      <vt:lpstr>HHMC</vt:lpstr>
      <vt:lpstr>HHMCB</vt:lpstr>
      <vt:lpstr>HHMCC</vt:lpstr>
      <vt:lpstr>HINSP</vt:lpstr>
      <vt:lpstr>HINSPB</vt:lpstr>
      <vt:lpstr>HINSPC</vt:lpstr>
      <vt:lpstr>HIRE</vt:lpstr>
      <vt:lpstr>HLEAD</vt:lpstr>
      <vt:lpstr>HLEADB</vt:lpstr>
      <vt:lpstr>HLEADC</vt:lpstr>
      <vt:lpstr>HMACH</vt:lpstr>
      <vt:lpstr>HMAIN</vt:lpstr>
      <vt:lpstr>HMAINB</vt:lpstr>
      <vt:lpstr>HMAINC</vt:lpstr>
      <vt:lpstr>HMO</vt:lpstr>
      <vt:lpstr>HMOCO</vt:lpstr>
      <vt:lpstr>HMOLD</vt:lpstr>
      <vt:lpstr>HMOLDB</vt:lpstr>
      <vt:lpstr>HMOLDC</vt:lpstr>
      <vt:lpstr>HMULTI</vt:lpstr>
      <vt:lpstr>HMULTIB</vt:lpstr>
      <vt:lpstr>HMULTIC</vt:lpstr>
      <vt:lpstr>HOL</vt:lpstr>
      <vt:lpstr>HPBO</vt:lpstr>
      <vt:lpstr>HPOL</vt:lpstr>
      <vt:lpstr>HPOLB</vt:lpstr>
      <vt:lpstr>HPOLC</vt:lpstr>
      <vt:lpstr>HPPO</vt:lpstr>
      <vt:lpstr>HPROG</vt:lpstr>
      <vt:lpstr>HPROGB</vt:lpstr>
      <vt:lpstr>HPROGC</vt:lpstr>
      <vt:lpstr>HPUR</vt:lpstr>
      <vt:lpstr>HPURB</vt:lpstr>
      <vt:lpstr>HPURC</vt:lpstr>
      <vt:lpstr>HRTM</vt:lpstr>
      <vt:lpstr>HRTMB</vt:lpstr>
      <vt:lpstr>HRTMC</vt:lpstr>
      <vt:lpstr>HSA</vt:lpstr>
      <vt:lpstr>HSACO</vt:lpstr>
      <vt:lpstr>HSACONT</vt:lpstr>
      <vt:lpstr>HSAW</vt:lpstr>
      <vt:lpstr>HSAWB</vt:lpstr>
      <vt:lpstr>HSAWC</vt:lpstr>
      <vt:lpstr>HSECOND</vt:lpstr>
      <vt:lpstr>HSECONDB</vt:lpstr>
      <vt:lpstr>HSECONDC</vt:lpstr>
      <vt:lpstr>HSHIP</vt:lpstr>
      <vt:lpstr>HSHIPB</vt:lpstr>
      <vt:lpstr>HSHIPC</vt:lpstr>
      <vt:lpstr>HSUPR</vt:lpstr>
      <vt:lpstr>HSUPRB</vt:lpstr>
      <vt:lpstr>HSUPRC</vt:lpstr>
      <vt:lpstr>HSUR</vt:lpstr>
      <vt:lpstr>HSURB</vt:lpstr>
      <vt:lpstr>HSURC</vt:lpstr>
      <vt:lpstr>HSWIS</vt:lpstr>
      <vt:lpstr>HSWISB</vt:lpstr>
      <vt:lpstr>HSWISC</vt:lpstr>
      <vt:lpstr>HTHIRD</vt:lpstr>
      <vt:lpstr>HTHIRDB</vt:lpstr>
      <vt:lpstr>HTHIRDC</vt:lpstr>
      <vt:lpstr>HTOOL</vt:lpstr>
      <vt:lpstr>HTOOLB</vt:lpstr>
      <vt:lpstr>HTOOLC</vt:lpstr>
      <vt:lpstr>HTURN</vt:lpstr>
      <vt:lpstr>HTURNB</vt:lpstr>
      <vt:lpstr>HTURNC</vt:lpstr>
      <vt:lpstr>HVMC</vt:lpstr>
      <vt:lpstr>HVMCB</vt:lpstr>
      <vt:lpstr>HVMCC</vt:lpstr>
      <vt:lpstr>HWELD</vt:lpstr>
      <vt:lpstr>HWELDB</vt:lpstr>
      <vt:lpstr>HWELDC</vt:lpstr>
      <vt:lpstr>HWJO</vt:lpstr>
      <vt:lpstr>ID</vt:lpstr>
      <vt:lpstr>IND</vt:lpstr>
      <vt:lpstr>K401CONT</vt:lpstr>
      <vt:lpstr>K401DOL</vt:lpstr>
      <vt:lpstr>K401K</vt:lpstr>
      <vt:lpstr>K401LMT</vt:lpstr>
      <vt:lpstr>K401PCT</vt:lpstr>
      <vt:lpstr>LAB</vt:lpstr>
      <vt:lpstr>LALL</vt:lpstr>
      <vt:lpstr>LALLB</vt:lpstr>
      <vt:lpstr>LALLC</vt:lpstr>
      <vt:lpstr>LASSM</vt:lpstr>
      <vt:lpstr>LASSMB</vt:lpstr>
      <vt:lpstr>LASSMC</vt:lpstr>
      <vt:lpstr>LBLAN</vt:lpstr>
      <vt:lpstr>LBLANB</vt:lpstr>
      <vt:lpstr>LBLANC</vt:lpstr>
      <vt:lpstr>LCNC</vt:lpstr>
      <vt:lpstr>LCNCB</vt:lpstr>
      <vt:lpstr>LCNCC</vt:lpstr>
      <vt:lpstr>LCYL</vt:lpstr>
      <vt:lpstr>LCYLB</vt:lpstr>
      <vt:lpstr>LCYLC</vt:lpstr>
      <vt:lpstr>LDEBUR</vt:lpstr>
      <vt:lpstr>LDEBURB</vt:lpstr>
      <vt:lpstr>LDEBURC</vt:lpstr>
      <vt:lpstr>LDIE</vt:lpstr>
      <vt:lpstr>LDIEB</vt:lpstr>
      <vt:lpstr>LDIEC</vt:lpstr>
      <vt:lpstr>LEDM</vt:lpstr>
      <vt:lpstr>LEDMB</vt:lpstr>
      <vt:lpstr>LEDMC</vt:lpstr>
      <vt:lpstr>LEFT</vt:lpstr>
      <vt:lpstr>LELEC</vt:lpstr>
      <vt:lpstr>LELECB</vt:lpstr>
      <vt:lpstr>LELECC</vt:lpstr>
      <vt:lpstr>LENG</vt:lpstr>
      <vt:lpstr>LENGB</vt:lpstr>
      <vt:lpstr>LENGC</vt:lpstr>
      <vt:lpstr>LFIRST</vt:lpstr>
      <vt:lpstr>LFIRSTB</vt:lpstr>
      <vt:lpstr>LFIRSTC</vt:lpstr>
      <vt:lpstr>LFIVE</vt:lpstr>
      <vt:lpstr>LFIVEB</vt:lpstr>
      <vt:lpstr>LFIVEC</vt:lpstr>
      <vt:lpstr>LFORTH</vt:lpstr>
      <vt:lpstr>LFOURTH</vt:lpstr>
      <vt:lpstr>LFOURTHB</vt:lpstr>
      <vt:lpstr>LFOURTHC</vt:lpstr>
      <vt:lpstr>LHMC</vt:lpstr>
      <vt:lpstr>LHMCB</vt:lpstr>
      <vt:lpstr>LHMCC</vt:lpstr>
      <vt:lpstr>LIFE</vt:lpstr>
      <vt:lpstr>LINSP</vt:lpstr>
      <vt:lpstr>LINSPB</vt:lpstr>
      <vt:lpstr>LINSPC</vt:lpstr>
      <vt:lpstr>LLEAD</vt:lpstr>
      <vt:lpstr>LLEADB</vt:lpstr>
      <vt:lpstr>LLEADC</vt:lpstr>
      <vt:lpstr>LMACH</vt:lpstr>
      <vt:lpstr>LMAIN</vt:lpstr>
      <vt:lpstr>LMAINB</vt:lpstr>
      <vt:lpstr>LMAINC</vt:lpstr>
      <vt:lpstr>LMOLD</vt:lpstr>
      <vt:lpstr>LMOLDB</vt:lpstr>
      <vt:lpstr>LMOLDC</vt:lpstr>
      <vt:lpstr>LMULTI</vt:lpstr>
      <vt:lpstr>LMULTIB</vt:lpstr>
      <vt:lpstr>LMULTIC</vt:lpstr>
      <vt:lpstr>LOB</vt:lpstr>
      <vt:lpstr>LPBO</vt:lpstr>
      <vt:lpstr>LPOL</vt:lpstr>
      <vt:lpstr>LPOLB</vt:lpstr>
      <vt:lpstr>LPOLC</vt:lpstr>
      <vt:lpstr>LPPO</vt:lpstr>
      <vt:lpstr>LPROG</vt:lpstr>
      <vt:lpstr>LPROGB</vt:lpstr>
      <vt:lpstr>LPROGC</vt:lpstr>
      <vt:lpstr>LPUR</vt:lpstr>
      <vt:lpstr>LPURB</vt:lpstr>
      <vt:lpstr>LPURC</vt:lpstr>
      <vt:lpstr>LRTM</vt:lpstr>
      <vt:lpstr>LRTMB</vt:lpstr>
      <vt:lpstr>LRTMC</vt:lpstr>
      <vt:lpstr>LSAW</vt:lpstr>
      <vt:lpstr>LSAWB</vt:lpstr>
      <vt:lpstr>LSAWC</vt:lpstr>
      <vt:lpstr>LSECOND</vt:lpstr>
      <vt:lpstr>LSECONDB</vt:lpstr>
      <vt:lpstr>LSECONDC</vt:lpstr>
      <vt:lpstr>LSHIP</vt:lpstr>
      <vt:lpstr>LSHIPB</vt:lpstr>
      <vt:lpstr>LSHIPC</vt:lpstr>
      <vt:lpstr>LSUPR</vt:lpstr>
      <vt:lpstr>LSUPRB</vt:lpstr>
      <vt:lpstr>LSUPRC</vt:lpstr>
      <vt:lpstr>LSUR</vt:lpstr>
      <vt:lpstr>LSURB</vt:lpstr>
      <vt:lpstr>LSURC</vt:lpstr>
      <vt:lpstr>LSWIS</vt:lpstr>
      <vt:lpstr>LSWISB</vt:lpstr>
      <vt:lpstr>LSWISC</vt:lpstr>
      <vt:lpstr>LTD</vt:lpstr>
      <vt:lpstr>LTHIRD</vt:lpstr>
      <vt:lpstr>LTHIRDB</vt:lpstr>
      <vt:lpstr>LTHIRDC</vt:lpstr>
      <vt:lpstr>LTOOL</vt:lpstr>
      <vt:lpstr>LTOOLB</vt:lpstr>
      <vt:lpstr>LTOOLC</vt:lpstr>
      <vt:lpstr>LTURN</vt:lpstr>
      <vt:lpstr>LTURNB</vt:lpstr>
      <vt:lpstr>LTURNC</vt:lpstr>
      <vt:lpstr>LVMC</vt:lpstr>
      <vt:lpstr>LVMCB</vt:lpstr>
      <vt:lpstr>LVMCC</vt:lpstr>
      <vt:lpstr>LWELD</vt:lpstr>
      <vt:lpstr>LWELDB</vt:lpstr>
      <vt:lpstr>LWELDC</vt:lpstr>
      <vt:lpstr>LWJO</vt:lpstr>
      <vt:lpstr>MANUAL</vt:lpstr>
      <vt:lpstr>MED</vt:lpstr>
      <vt:lpstr>MEDCO</vt:lpstr>
      <vt:lpstr>MEM</vt:lpstr>
      <vt:lpstr>MLK</vt:lpstr>
      <vt:lpstr>MOLD</vt:lpstr>
      <vt:lpstr>MONEY</vt:lpstr>
      <vt:lpstr>NALL</vt:lpstr>
      <vt:lpstr>NAME</vt:lpstr>
      <vt:lpstr>NASSM</vt:lpstr>
      <vt:lpstr>NBLAN</vt:lpstr>
      <vt:lpstr>NCNC</vt:lpstr>
      <vt:lpstr>NCYL</vt:lpstr>
      <vt:lpstr>NDEBUR</vt:lpstr>
      <vt:lpstr>NDIE</vt:lpstr>
      <vt:lpstr>NEDM</vt:lpstr>
      <vt:lpstr>NELEC</vt:lpstr>
      <vt:lpstr>NENG</vt:lpstr>
      <vt:lpstr>NEW</vt:lpstr>
      <vt:lpstr>NEWEVE</vt:lpstr>
      <vt:lpstr>NFIRST</vt:lpstr>
      <vt:lpstr>NFIVE</vt:lpstr>
      <vt:lpstr>NFORTH</vt:lpstr>
      <vt:lpstr>NFOURTH</vt:lpstr>
      <vt:lpstr>NHMC</vt:lpstr>
      <vt:lpstr>NINSP</vt:lpstr>
      <vt:lpstr>NLEAD</vt:lpstr>
      <vt:lpstr>NMACH</vt:lpstr>
      <vt:lpstr>NMAIN</vt:lpstr>
      <vt:lpstr>NMOLD</vt:lpstr>
      <vt:lpstr>NMULTI</vt:lpstr>
      <vt:lpstr>NPBO</vt:lpstr>
      <vt:lpstr>NPOL</vt:lpstr>
      <vt:lpstr>NPPO</vt:lpstr>
      <vt:lpstr>NPROG</vt:lpstr>
      <vt:lpstr>NPUR</vt:lpstr>
      <vt:lpstr>NRTM</vt:lpstr>
      <vt:lpstr>NS</vt:lpstr>
      <vt:lpstr>NSAW</vt:lpstr>
      <vt:lpstr>NSECOND</vt:lpstr>
      <vt:lpstr>NSHIP</vt:lpstr>
      <vt:lpstr>NSMIL</vt:lpstr>
      <vt:lpstr>NSUPR</vt:lpstr>
      <vt:lpstr>NSUR</vt:lpstr>
      <vt:lpstr>NSWIS</vt:lpstr>
      <vt:lpstr>NTHIRD</vt:lpstr>
      <vt:lpstr>NTOOL</vt:lpstr>
      <vt:lpstr>NTURN</vt:lpstr>
      <vt:lpstr>NUM</vt:lpstr>
      <vt:lpstr>NVMC</vt:lpstr>
      <vt:lpstr>NWELD</vt:lpstr>
      <vt:lpstr>NWJO</vt:lpstr>
      <vt:lpstr>OCLASS</vt:lpstr>
      <vt:lpstr>OTH</vt:lpstr>
      <vt:lpstr>PARENT</vt:lpstr>
      <vt:lpstr>PARTY</vt:lpstr>
      <vt:lpstr>PDAY</vt:lpstr>
      <vt:lpstr>PER</vt:lpstr>
      <vt:lpstr>PHONE</vt:lpstr>
      <vt:lpstr>POS</vt:lpstr>
      <vt:lpstr>POSCO</vt:lpstr>
      <vt:lpstr>PPO</vt:lpstr>
      <vt:lpstr>PPOCO</vt:lpstr>
      <vt:lpstr>PRECARE</vt:lpstr>
      <vt:lpstr>PREMED</vt:lpstr>
      <vt:lpstr>Benefits!Print_Area</vt:lpstr>
      <vt:lpstr>'Genl Info'!Print_Area</vt:lpstr>
      <vt:lpstr>Overview!Print_Area</vt:lpstr>
      <vt:lpstr>'Plant Wages'!Print_Area</vt:lpstr>
      <vt:lpstr>Print!Print_Area</vt:lpstr>
      <vt:lpstr>PROD</vt:lpstr>
      <vt:lpstr>REL</vt:lpstr>
      <vt:lpstr>RMIC</vt:lpstr>
      <vt:lpstr>RMICCO</vt:lpstr>
      <vt:lpstr>SDAYS</vt:lpstr>
      <vt:lpstr>SEP</vt:lpstr>
      <vt:lpstr>SHARING</vt:lpstr>
      <vt:lpstr>SHEET</vt:lpstr>
      <vt:lpstr>SICK</vt:lpstr>
      <vt:lpstr>SINGLE</vt:lpstr>
      <vt:lpstr>SPEC</vt:lpstr>
      <vt:lpstr>SPOUSE</vt:lpstr>
      <vt:lpstr>STATE</vt:lpstr>
      <vt:lpstr>STD</vt:lpstr>
      <vt:lpstr>THA</vt:lpstr>
      <vt:lpstr>TOOL</vt:lpstr>
      <vt:lpstr>TRAD</vt:lpstr>
      <vt:lpstr>TRADCO</vt:lpstr>
      <vt:lpstr>UNION</vt:lpstr>
      <vt:lpstr>VAC</vt:lpstr>
      <vt:lpstr>VET</vt:lpstr>
      <vt:lpstr>WK1_a</vt:lpstr>
      <vt:lpstr>WK2_a</vt:lpstr>
      <vt:lpstr>WK3_a</vt:lpstr>
      <vt:lpstr>WK4_a</vt:lpstr>
      <vt:lpstr>WK4A</vt:lpstr>
      <vt:lpstr>WK5_a</vt:lpstr>
      <vt:lpstr>WK5A</vt:lpstr>
      <vt:lpstr>XEVE</vt:lpstr>
      <vt:lpstr>XMAS</vt:lpstr>
      <vt:lpstr>YEB</vt:lpstr>
      <vt:lpstr>'Genl Info'!YesNoList</vt:lpstr>
      <vt:lpstr>YR</vt:lpstr>
      <vt:lpstr>ZIPCODE</vt:lpstr>
    </vt:vector>
  </TitlesOfParts>
  <Company>Profit Planning Group,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 Wages</dc:title>
  <dc:creator>John Mackay</dc:creator>
  <cp:lastModifiedBy>Taylor Mackay</cp:lastModifiedBy>
  <cp:lastPrinted>2025-08-12T20:57:20Z</cp:lastPrinted>
  <dcterms:created xsi:type="dcterms:W3CDTF">2001-10-04T14:59:09Z</dcterms:created>
  <dcterms:modified xsi:type="dcterms:W3CDTF">2026-08-18T15:49:55Z</dcterms:modified>
</cp:coreProperties>
</file>